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9120" tabRatio="683" activeTab="0"/>
  </bookViews>
  <sheets>
    <sheet name="Guide de l'utilisateur" sheetId="1" r:id="rId1"/>
    <sheet name="Évaluation des bâtiments simple" sheetId="2" r:id="rId2"/>
    <sheet name="Évaluation des bâtiments" sheetId="3" r:id="rId3"/>
    <sheet name="Paramètres" sheetId="4" r:id="rId4"/>
  </sheets>
  <definedNames>
    <definedName name="autre">'Paramètres'!$C$39:$C$42</definedName>
    <definedName name="batisses">'Paramètres'!$C$5:$C$42</definedName>
    <definedName name="Bovins">'Paramètres'!$C$5:$C$14</definedName>
    <definedName name="Fumier">'Paramètres'!$C$27:$C$31</definedName>
    <definedName name="porc">'Paramètres'!$C$19:$C$22</definedName>
    <definedName name="poule">'Paramètres'!$C$23:$C$26</definedName>
    <definedName name="Remise">'Paramètres'!$C$15:$C$18</definedName>
    <definedName name="silos">'Paramètres'!$C$32:$C$38</definedName>
    <definedName name="_xlnm.Print_Area" localSheetId="2">'Évaluation des bâtiments'!$C$1:$S$99</definedName>
    <definedName name="_xlnm.Print_Area" localSheetId="1">'Évaluation des bâtiments simple'!$C$1:$S$97</definedName>
    <definedName name="_xlnm.Print_Area" localSheetId="0">'Guide de l''utilisateur'!$A$1:$J$122</definedName>
  </definedNames>
  <calcPr fullCalcOnLoad="1"/>
</workbook>
</file>

<file path=xl/comments2.xml><?xml version="1.0" encoding="utf-8"?>
<comments xmlns="http://schemas.openxmlformats.org/spreadsheetml/2006/main">
  <authors>
    <author>Eveline Fortier</author>
    <author>Nadia</author>
  </authors>
  <commentList>
    <comment ref="N24" authorId="0">
      <text>
        <r>
          <rPr>
            <b/>
            <sz val="8"/>
            <rFont val="Tahoma"/>
            <family val="2"/>
          </rPr>
          <t>Eveline Fortier:</t>
        </r>
        <r>
          <rPr>
            <sz val="8"/>
            <rFont val="Tahoma"/>
            <family val="2"/>
          </rPr>
          <t xml:space="preserve">
Équivalent à la valeur résiduelle en % du coût de remplacement à neuf</t>
        </r>
      </text>
    </comment>
    <comment ref="O24" authorId="1">
      <text>
        <r>
          <rPr>
            <sz val="8"/>
            <rFont val="Tahoma"/>
            <family val="2"/>
          </rPr>
          <t xml:space="preserve">Par défaut le chiffre devrait être à 100%
</t>
        </r>
      </text>
    </comment>
    <comment ref="Q24" authorId="0">
      <text>
        <r>
          <rPr>
            <b/>
            <sz val="8"/>
            <rFont val="Tahoma"/>
            <family val="2"/>
          </rPr>
          <t>Eveline Fortier:</t>
        </r>
        <r>
          <rPr>
            <sz val="8"/>
            <rFont val="Tahoma"/>
            <family val="2"/>
          </rPr>
          <t xml:space="preserve">
Correspond à la valeur résiduelle incluant le facteur fonctionnalité</t>
        </r>
      </text>
    </comment>
    <comment ref="AO37" authorId="1">
      <text>
        <r>
          <rPr>
            <sz val="8"/>
            <rFont val="Tahoma"/>
            <family val="2"/>
          </rPr>
          <t xml:space="preserve">Par défaut le chiffre devrait être à 100%
</t>
        </r>
      </text>
    </comment>
    <comment ref="AO48" authorId="1">
      <text>
        <r>
          <rPr>
            <sz val="8"/>
            <rFont val="Tahoma"/>
            <family val="2"/>
          </rPr>
          <t xml:space="preserve">Par défaut le chiffre devrait être à 100%
</t>
        </r>
      </text>
    </comment>
    <comment ref="AO57" authorId="1">
      <text>
        <r>
          <rPr>
            <sz val="8"/>
            <rFont val="Tahoma"/>
            <family val="2"/>
          </rPr>
          <t xml:space="preserve">Par défaut le chiffre devrait être à 100%
</t>
        </r>
      </text>
    </comment>
    <comment ref="AO69" authorId="1">
      <text>
        <r>
          <rPr>
            <sz val="8"/>
            <rFont val="Tahoma"/>
            <family val="2"/>
          </rPr>
          <t xml:space="preserve">Par défaut le chiffre devrait être à 100%
</t>
        </r>
      </text>
    </comment>
    <comment ref="AO76" authorId="1">
      <text>
        <r>
          <rPr>
            <sz val="8"/>
            <rFont val="Tahoma"/>
            <family val="2"/>
          </rPr>
          <t xml:space="preserve">Par défaut le chiffre devrait être à 100%
</t>
        </r>
      </text>
    </comment>
    <comment ref="AO83" authorId="1">
      <text>
        <r>
          <rPr>
            <sz val="8"/>
            <rFont val="Tahoma"/>
            <family val="2"/>
          </rPr>
          <t xml:space="preserve">Par défaut le chiffre devrait être à 100%
</t>
        </r>
      </text>
    </comment>
    <comment ref="O37" authorId="1">
      <text>
        <r>
          <rPr>
            <sz val="8"/>
            <rFont val="Tahoma"/>
            <family val="2"/>
          </rPr>
          <t xml:space="preserve">Par défaut le chiffre devrait être à 100%
</t>
        </r>
      </text>
    </comment>
    <comment ref="O48" authorId="1">
      <text>
        <r>
          <rPr>
            <sz val="8"/>
            <rFont val="Tahoma"/>
            <family val="2"/>
          </rPr>
          <t xml:space="preserve">Par défaut le chiffre devrait être à 100%
</t>
        </r>
      </text>
    </comment>
    <comment ref="O57" authorId="1">
      <text>
        <r>
          <rPr>
            <sz val="8"/>
            <rFont val="Tahoma"/>
            <family val="2"/>
          </rPr>
          <t xml:space="preserve">Par défaut le chiffre devrait être à 100%
</t>
        </r>
      </text>
    </comment>
    <comment ref="O69" authorId="1">
      <text>
        <r>
          <rPr>
            <sz val="8"/>
            <rFont val="Tahoma"/>
            <family val="2"/>
          </rPr>
          <t xml:space="preserve">Par défaut le chiffre devrait être à 100%
</t>
        </r>
      </text>
    </comment>
    <comment ref="O76" authorId="1">
      <text>
        <r>
          <rPr>
            <sz val="8"/>
            <rFont val="Tahoma"/>
            <family val="2"/>
          </rPr>
          <t xml:space="preserve">Par défaut le chiffre devrait être à 100%
</t>
        </r>
      </text>
    </comment>
    <comment ref="O83" authorId="1">
      <text>
        <r>
          <rPr>
            <sz val="8"/>
            <rFont val="Tahoma"/>
            <family val="2"/>
          </rPr>
          <t xml:space="preserve">Par défaut le chiffre devrait être à 100%
</t>
        </r>
      </text>
    </comment>
  </commentList>
</comments>
</file>

<file path=xl/comments3.xml><?xml version="1.0" encoding="utf-8"?>
<comments xmlns="http://schemas.openxmlformats.org/spreadsheetml/2006/main">
  <authors>
    <author>Eveline Fortier</author>
    <author>Nadia</author>
  </authors>
  <commentList>
    <comment ref="N24" authorId="0">
      <text>
        <r>
          <rPr>
            <b/>
            <sz val="8"/>
            <rFont val="Tahoma"/>
            <family val="2"/>
          </rPr>
          <t>Eveline Fortier:</t>
        </r>
        <r>
          <rPr>
            <sz val="8"/>
            <rFont val="Tahoma"/>
            <family val="2"/>
          </rPr>
          <t xml:space="preserve">
Équivalent à la valeur résiduelle en % du coût de remplacement à neuf</t>
        </r>
      </text>
    </comment>
    <comment ref="Q24" authorId="0">
      <text>
        <r>
          <rPr>
            <b/>
            <sz val="8"/>
            <rFont val="Tahoma"/>
            <family val="2"/>
          </rPr>
          <t>Eveline Fortier:</t>
        </r>
        <r>
          <rPr>
            <sz val="8"/>
            <rFont val="Tahoma"/>
            <family val="2"/>
          </rPr>
          <t xml:space="preserve">
Correspond à la valeur résiduelle incluant le facteur fonctionnalité</t>
        </r>
      </text>
    </comment>
    <comment ref="O24" authorId="1">
      <text>
        <r>
          <rPr>
            <sz val="8"/>
            <rFont val="Tahoma"/>
            <family val="2"/>
          </rPr>
          <t xml:space="preserve">Par défaut le chiffre devrait être à 100%
</t>
        </r>
      </text>
    </comment>
    <comment ref="AO37" authorId="1">
      <text>
        <r>
          <rPr>
            <sz val="8"/>
            <rFont val="Tahoma"/>
            <family val="2"/>
          </rPr>
          <t xml:space="preserve">Par défaut le chiffre devrait être à 100%
</t>
        </r>
      </text>
    </comment>
    <comment ref="AO48" authorId="1">
      <text>
        <r>
          <rPr>
            <sz val="8"/>
            <rFont val="Tahoma"/>
            <family val="2"/>
          </rPr>
          <t xml:space="preserve">Par défaut le chiffre devrait être à 100%
</t>
        </r>
      </text>
    </comment>
    <comment ref="AO57" authorId="1">
      <text>
        <r>
          <rPr>
            <sz val="8"/>
            <rFont val="Tahoma"/>
            <family val="2"/>
          </rPr>
          <t xml:space="preserve">Par défaut le chiffre devrait être à 100%
</t>
        </r>
      </text>
    </comment>
    <comment ref="AO69" authorId="1">
      <text>
        <r>
          <rPr>
            <sz val="8"/>
            <rFont val="Tahoma"/>
            <family val="2"/>
          </rPr>
          <t xml:space="preserve">Par défaut le chiffre devrait être à 100%
</t>
        </r>
      </text>
    </comment>
    <comment ref="AO76" authorId="1">
      <text>
        <r>
          <rPr>
            <sz val="8"/>
            <rFont val="Tahoma"/>
            <family val="2"/>
          </rPr>
          <t xml:space="preserve">Par défaut le chiffre devrait être à 100%
</t>
        </r>
      </text>
    </comment>
    <comment ref="AO85" authorId="1">
      <text>
        <r>
          <rPr>
            <sz val="8"/>
            <rFont val="Tahoma"/>
            <family val="2"/>
          </rPr>
          <t xml:space="preserve">Par défaut le chiffre devrait être à 100%
</t>
        </r>
      </text>
    </comment>
    <comment ref="O37" authorId="1">
      <text>
        <r>
          <rPr>
            <sz val="8"/>
            <rFont val="Tahoma"/>
            <family val="2"/>
          </rPr>
          <t xml:space="preserve">Par défaut le chiffre devrait être à 100%
</t>
        </r>
      </text>
    </comment>
    <comment ref="O48" authorId="1">
      <text>
        <r>
          <rPr>
            <sz val="8"/>
            <rFont val="Tahoma"/>
            <family val="2"/>
          </rPr>
          <t xml:space="preserve">Par défaut le chiffre devrait être à 100%
</t>
        </r>
      </text>
    </comment>
    <comment ref="O57" authorId="1">
      <text>
        <r>
          <rPr>
            <sz val="8"/>
            <rFont val="Tahoma"/>
            <family val="2"/>
          </rPr>
          <t xml:space="preserve">Par défaut le chiffre devrait être à 100%
</t>
        </r>
      </text>
    </comment>
    <comment ref="O69" authorId="1">
      <text>
        <r>
          <rPr>
            <sz val="8"/>
            <rFont val="Tahoma"/>
            <family val="2"/>
          </rPr>
          <t xml:space="preserve">Par défaut le chiffre devrait être à 100%
</t>
        </r>
      </text>
    </comment>
    <comment ref="O76" authorId="1">
      <text>
        <r>
          <rPr>
            <sz val="8"/>
            <rFont val="Tahoma"/>
            <family val="2"/>
          </rPr>
          <t xml:space="preserve">Par défaut le chiffre devrait être à 100%
</t>
        </r>
      </text>
    </comment>
    <comment ref="O85" authorId="1">
      <text>
        <r>
          <rPr>
            <sz val="8"/>
            <rFont val="Tahoma"/>
            <family val="2"/>
          </rPr>
          <t xml:space="preserve">Par défaut le chiffre devrait être à 100%
</t>
        </r>
      </text>
    </comment>
  </commentList>
</comments>
</file>

<file path=xl/comments4.xml><?xml version="1.0" encoding="utf-8"?>
<comments xmlns="http://schemas.openxmlformats.org/spreadsheetml/2006/main">
  <authors>
    <author>Eveline Fortier</author>
  </authors>
  <commentList>
    <comment ref="G32" authorId="0">
      <text>
        <r>
          <rPr>
            <b/>
            <sz val="8"/>
            <rFont val="Tahoma"/>
            <family val="2"/>
          </rPr>
          <t>Eveline Fortier:</t>
        </r>
        <r>
          <rPr>
            <sz val="8"/>
            <rFont val="Tahoma"/>
            <family val="2"/>
          </rPr>
          <t xml:space="preserve">
prix sans pieux
</t>
        </r>
      </text>
    </comment>
    <comment ref="G33" authorId="0">
      <text>
        <r>
          <rPr>
            <b/>
            <sz val="8"/>
            <rFont val="Tahoma"/>
            <family val="2"/>
          </rPr>
          <t>Eveline Fortier:</t>
        </r>
        <r>
          <rPr>
            <sz val="8"/>
            <rFont val="Tahoma"/>
            <family val="2"/>
          </rPr>
          <t xml:space="preserve">
prix sans pieux</t>
        </r>
      </text>
    </comment>
  </commentList>
</comments>
</file>

<file path=xl/sharedStrings.xml><?xml version="1.0" encoding="utf-8"?>
<sst xmlns="http://schemas.openxmlformats.org/spreadsheetml/2006/main" count="920" uniqueCount="161">
  <si>
    <t>Valeur à neuf</t>
  </si>
  <si>
    <t>Contribution</t>
  </si>
  <si>
    <t>Grange-étable</t>
  </si>
  <si>
    <t>Pouponnière</t>
  </si>
  <si>
    <t>Valeur Agritel</t>
  </si>
  <si>
    <t>JVM</t>
  </si>
  <si>
    <t>Facteur Âge</t>
  </si>
  <si>
    <t>Ferme:</t>
  </si>
  <si>
    <t>Valeur dépréciée</t>
  </si>
  <si>
    <t>TOTAL</t>
  </si>
  <si>
    <t>Facteur fonctionnel</t>
  </si>
  <si>
    <t>Ensemble des bâtiments</t>
  </si>
  <si>
    <t>Tous les bâtiments</t>
  </si>
  <si>
    <t>V.E</t>
  </si>
  <si>
    <t>Valeur unitaire</t>
  </si>
  <si>
    <t>/pi²</t>
  </si>
  <si>
    <t>Silo vertical à fourrages</t>
  </si>
  <si>
    <t>/pi³</t>
  </si>
  <si>
    <t>Âge effectif</t>
  </si>
  <si>
    <t>Vie économique</t>
  </si>
  <si>
    <t>À titre indicatif</t>
  </si>
  <si>
    <t>Évaluation des bâtiments</t>
  </si>
  <si>
    <t>Items</t>
  </si>
  <si>
    <t>Descriptions</t>
  </si>
  <si>
    <t>g</t>
  </si>
  <si>
    <t>e</t>
  </si>
  <si>
    <t>sv</t>
  </si>
  <si>
    <t>sf</t>
  </si>
  <si>
    <t>p</t>
  </si>
  <si>
    <t>Paramètres</t>
  </si>
  <si>
    <t>Prix min</t>
  </si>
  <si>
    <t>Prix max</t>
  </si>
  <si>
    <t>Laiterie extérieure</t>
  </si>
  <si>
    <t>Salon de traite</t>
  </si>
  <si>
    <t>Étable à logettes</t>
  </si>
  <si>
    <t>Vacherie</t>
  </si>
  <si>
    <t>Étable à veau de lait</t>
  </si>
  <si>
    <t>Maternité sans pouponnière</t>
  </si>
  <si>
    <t>Engraissement chambré</t>
  </si>
  <si>
    <t>Poulailler 1 étage</t>
  </si>
  <si>
    <t>Poulailler 2 étages</t>
  </si>
  <si>
    <t>Poulailler 3 étages</t>
  </si>
  <si>
    <t>Bâtiments porcins</t>
  </si>
  <si>
    <t>Poulaillers</t>
  </si>
  <si>
    <t>Superficie
pi²</t>
  </si>
  <si>
    <t>Bâtiments bovins laitiers et de boucherie</t>
  </si>
  <si>
    <t>Entreposage fumier et lisier sans toîture</t>
  </si>
  <si>
    <t>Réservoir à lisier et purot</t>
  </si>
  <si>
    <t>Cour Extérieure en béton</t>
  </si>
  <si>
    <t>Plate-forme à fumier rectangulaire</t>
  </si>
  <si>
    <t>Plate-forme à fumier circulaire</t>
  </si>
  <si>
    <t>Volume pi³</t>
  </si>
  <si>
    <t>4 à 12</t>
  </si>
  <si>
    <t>8 à 16</t>
  </si>
  <si>
    <t>40 à 120</t>
  </si>
  <si>
    <t>prix min et max pour 8*40 à 16*120</t>
  </si>
  <si>
    <t>Silo couloir</t>
  </si>
  <si>
    <t>Silo à grain</t>
  </si>
  <si>
    <t>Silo séchoir</t>
  </si>
  <si>
    <t>Silo à moulée</t>
  </si>
  <si>
    <t>7 à 21</t>
  </si>
  <si>
    <t>4 à 33</t>
  </si>
  <si>
    <t>18 à 36</t>
  </si>
  <si>
    <t>22'1''</t>
  </si>
  <si>
    <t>21 à 48</t>
  </si>
  <si>
    <t>14'8'' à 44'</t>
  </si>
  <si>
    <t>Silo hermétique en béton</t>
  </si>
  <si>
    <t>pour un 20*80</t>
  </si>
  <si>
    <t>Silos</t>
  </si>
  <si>
    <t>Atelier isolé</t>
  </si>
  <si>
    <t>po</t>
  </si>
  <si>
    <t>Remises et garages</t>
  </si>
  <si>
    <t>Relever des ventes de terres bâties dans la production choisie et la région concernée ;</t>
  </si>
  <si>
    <t>Relever des ventes de terres non bâties à l'intérieur du territoire des terres bâties sous étude ;</t>
  </si>
  <si>
    <t>Réaliser des tableaux comparatifs des ventes sélectionnées de façon à connaître les effets sur la valeur contributive et le prix unitaire ;</t>
  </si>
  <si>
    <t>Analyser un budget d'exploitation de la production concernée en :</t>
  </si>
  <si>
    <t>Répartir le prix de vente de la propriété afin d'obtenir la proportion attribuable aux bâtiments selon l'opinion des vendeurs et acquéreurs ;</t>
  </si>
  <si>
    <t>Calculer le coût de remplacement neuf et le coût de remplacement déprécié des bâtiments pour en arriver à un prix unitaire ;</t>
  </si>
  <si>
    <t>Facteur fonctionnel (ou désuétude fonctionnelle)</t>
  </si>
  <si>
    <t>-</t>
  </si>
  <si>
    <t>a) Estimant le revenu brut ;</t>
  </si>
  <si>
    <t>b) Estimant le revenu net ;</t>
  </si>
  <si>
    <t>c) Estimant le revenu attribuable aux bâtiments.</t>
  </si>
  <si>
    <t>Par exemple : il pourrait s'agir d'ajouter une garde-robe ou des armoires de cuisine convenables, de moderniser un élément ou encore d'élargir les logettes d'une étable conçue initialement pour l'élevage d'animaux de petits gabarits (Jersey).</t>
  </si>
  <si>
    <t>1)</t>
  </si>
  <si>
    <t>2)</t>
  </si>
  <si>
    <t>Objectif de l'outil</t>
  </si>
  <si>
    <t xml:space="preserve"> </t>
  </si>
  <si>
    <t>Prix retenu                    $/pi ²</t>
  </si>
  <si>
    <t>$/p³</t>
  </si>
  <si>
    <t>Vie économique et facteur âge</t>
  </si>
  <si>
    <t>Prix retenus</t>
  </si>
  <si>
    <t>Entrepôt à fruits et légumes en vrac</t>
  </si>
  <si>
    <t>Bergerie</t>
  </si>
  <si>
    <t>Autres bâtiments</t>
  </si>
  <si>
    <t>Cabane à sucre 10 000 entailles</t>
  </si>
  <si>
    <t>a</t>
  </si>
  <si>
    <t>Étable à veau de grain plancher plein</t>
  </si>
  <si>
    <t>Étable vaches-veaux sur lattes</t>
  </si>
  <si>
    <t>Étable vaches-veaux conventionnelle</t>
  </si>
  <si>
    <t>Remise (ferme triangulée en bois)</t>
  </si>
  <si>
    <t>Remise (comble français 2 ou 3 pentes)</t>
  </si>
  <si>
    <t>Il s'agit de l'âge que l'on attribue au bâtiment au moment où l'on veut calculer sa juste valeur marchande. L'âge effectif entre dans le calcul de la désuétude physique.</t>
  </si>
  <si>
    <t>Schématisation du processus</t>
  </si>
  <si>
    <t xml:space="preserve">Ces valeurs, que l'on retrouve dans l'outil, proviennent de l'Agdex 824/825b, "Évaluation - Machinerie et bâtiment" que l'on retrouve dans la collection des Références économiques, du  CRAAQ. Elles servent à calculer la désuétude physique.            http://www.craaq.qc.ca/ReferencesEconomiques </t>
  </si>
  <si>
    <t>Ce logiciel se veut un outil pour guider l'utilisateur dans sa démarche afin de l'aider à évaluer la juste valeur marchande d'un bâtiment.</t>
  </si>
  <si>
    <t>GUIDE DE L'UTILISATEUR</t>
  </si>
  <si>
    <t>Ce document est basé sur de l'information factuelle jugée représentative. L'utilisateur doit l'adapter à chaque situation et une décision basée sur cette information est la seule responsabilité de l'utilisateur.</t>
  </si>
  <si>
    <t>b</t>
  </si>
  <si>
    <t>Signature de l'agronome:</t>
  </si>
  <si>
    <t>Variation de prix $/pi²
Min     Max</t>
  </si>
  <si>
    <t>Variation de prix 
Min     Max</t>
  </si>
  <si>
    <t>Prix retenu                    $/pi</t>
  </si>
  <si>
    <t>Idée et concept original provenant du REGA</t>
  </si>
  <si>
    <t>Valeur contributive (désuétude économique) (contribution)</t>
  </si>
  <si>
    <t>La valeur de la contribution s'obtient grâce à l'analyse de divers tableaux comparatifs et de budgets typiques et prend en compte un processus qui comporte plusieurs étapes comme :</t>
  </si>
  <si>
    <t>La valeur contributive est le surplus de valeur marchande qu'un bâtiment apporte à un fonds de terre.</t>
  </si>
  <si>
    <t>Étapes à suivre pour remplir la feuille de calculs</t>
  </si>
  <si>
    <t>Mettre l'âge effectif du bâtiment (voir définition ici-haut) ;</t>
  </si>
  <si>
    <t>Faire apparaître ou disparaître les sections que vous voulez retrouver en pesant sur les boutons gris ;</t>
  </si>
  <si>
    <t>Ajuster le facteur fonctionnel ;</t>
  </si>
  <si>
    <t>Hauteur       pi</t>
  </si>
  <si>
    <t>Diamètre      pi</t>
  </si>
  <si>
    <t>Largeur         pi</t>
  </si>
  <si>
    <t>Longueur     pi</t>
  </si>
  <si>
    <t>Juste valeur marchande (JVM)</t>
  </si>
  <si>
    <t>Sélectionner dans la liste le bâtiment désiré. S'il n'y figure pas (possible dans l'onglet "Évaluation des bâtiments" seulement), mettre le nom et la description appropriés ;</t>
  </si>
  <si>
    <t>Mettre les dimensions correspondant au bâtiment que vous voulez évaluer ;</t>
  </si>
  <si>
    <t>Contri-  bution</t>
  </si>
  <si>
    <t>Valeur dans l'OEB</t>
  </si>
  <si>
    <t>Avertissements</t>
  </si>
  <si>
    <t>Vous pouvez enlever les lignes en trop dans votre version finale. Attention, une fois enlevée, la ligne ne peut être remise, il est donc préférable d'avoir plusieurs versions.</t>
  </si>
  <si>
    <t>Valeur à neuf estimée</t>
  </si>
  <si>
    <t>Cour extérieure en béton</t>
  </si>
  <si>
    <t>Fonctionnement des boutons</t>
  </si>
  <si>
    <t xml:space="preserve">Cet outil propose des macro commandes afin de masquer ou d'afficher les catégories de bâtiments, pour adapter l'outil à l'entreprise étudiée. Lorsque la catégorie de bâtiments est affichée, si vous appuyez sur le bouton de cette catégorie de bâtiments, celle-ci sera masquée. Lorsqu'une catégorie de bâtiments est masquée, si vous appuyez sur le bouton de cette catégorie de bâtiments, celle-ci s'affichera. </t>
  </si>
  <si>
    <r>
      <t xml:space="preserve">La désuétude fonctionnelle </t>
    </r>
    <r>
      <rPr>
        <b/>
        <sz val="9"/>
        <rFont val="Arial"/>
        <family val="2"/>
      </rPr>
      <t>curable</t>
    </r>
    <r>
      <rPr>
        <sz val="9"/>
        <rFont val="Arial"/>
        <family val="2"/>
      </rPr>
      <t xml:space="preserve"> touche les éléments de la construction dont le coût de remplacement ou de réparation est égal ou inférieur à la valeur qui en résultera.</t>
    </r>
  </si>
  <si>
    <r>
      <t>La désuétude fonctionnelle</t>
    </r>
    <r>
      <rPr>
        <b/>
        <sz val="9"/>
        <rFont val="Arial"/>
        <family val="2"/>
      </rPr>
      <t xml:space="preserve"> incurable</t>
    </r>
    <r>
      <rPr>
        <sz val="9"/>
        <rFont val="Arial"/>
        <family val="2"/>
      </rPr>
      <t xml:space="preserve"> touche les éléments de la construction dont le coût de réparation est supérieur à l'accroissement de la valeur prévue.</t>
    </r>
  </si>
  <si>
    <r>
      <t xml:space="preserve">Entrer le prix correspondant à votre bâtiment. Vous pouvez toujours utiliser celui qui est suggéré, mais il risque de ne pas correspondre à votre réalité. </t>
    </r>
    <r>
      <rPr>
        <b/>
        <sz val="9"/>
        <rFont val="Arial"/>
        <family val="2"/>
      </rPr>
      <t>Si vous avez introduit un nouveau bâtiment</t>
    </r>
    <r>
      <rPr>
        <sz val="9"/>
        <rFont val="Arial"/>
        <family val="2"/>
      </rPr>
      <t>, il suffit de remplacer la valeur #N/A par le prix désiré. Si vous ne savez pas le prix, vous pouvez chercher un comparable parmi les feuillets des Références économiques (AGDEX 700) ;</t>
    </r>
  </si>
  <si>
    <t>La valeur marchande d'un bâtiment dépend de plusieurs facteurs et est différente d'une région à l'autre. Les valeurs à neuf suggérées dans cet outil comprennent des frais d’excavation et de terrassement normaux. Si un dynamitage ou un remblayage additionnel est requis, une évaluation soigneuse de ces coûts doit être réalisée. Les coûts présentés concernent uniquement les bâtiments sans les infrastructures qui les entourent. Exemples d'infrastructures : chemin de ferme, ligne électrique, arrivée d'eau jusqu'au bâtiment, etc.</t>
  </si>
  <si>
    <t>Les prix que l'on retrouve dans cet outil sont à titre indicatif, pour plus d'information veuillez consulter les divers documents de la série Agdex 700 de la collection des Références économiques, ou vos contacts.</t>
  </si>
  <si>
    <t>Cette désuétude représente la perte d'utilité résultant de l'incapacité d'un élément de construction ou d'une prise d'équipement à remplir convenablement sa fonction compte tenu des normes et exigences modernes.</t>
  </si>
  <si>
    <t>Il existe de la désuétude fonctionnelle curable et incurable :</t>
  </si>
  <si>
    <t>Par exemple : un mauvais agencement des pièces, un manque de hauteur ou une hauteur excessive, un escalier ou aire de circulation trop étroite, etc.</t>
  </si>
  <si>
    <t xml:space="preserve">Dans le cas présent une contribution de 30% veut dire que de la valeur dépréciée, seulement 30% seront considérés pour la juste valeur marchande. Ce sont ces 30% de valeur qui viendront s'ajouter à la valeur du fonds de terre. </t>
  </si>
  <si>
    <t>Chacune des propriétés à évaluer est unique de par son style, sa situation, son état, etc. Donc, le pourcentage de contribution variera de 0 % à 100 %.</t>
  </si>
  <si>
    <t>Les écarts de prix proviennent des multiples variations que l'on retrouve lors de la construction d'un bâtiment (Ex. : tôle émaillée au lieu de galvanisée, ajustement de prix selon la superficie, type d'isolation, etc.).</t>
  </si>
  <si>
    <t>Choisir l'onglet "Évaluation des bâtiments simples" pour une version simplifiée, mais où vous ne pouvez introduire de nouveaux bâtiments, et la version "Évaluation des bâtiments" où les modifications peuvent s'opérer ;</t>
  </si>
  <si>
    <r>
      <t>Si vous avez introduit un nouveau bâtiment</t>
    </r>
    <r>
      <rPr>
        <sz val="9"/>
        <rFont val="Arial"/>
        <family val="2"/>
      </rPr>
      <t>, vous devrez inscrire la durée de vie économique de ce dernier. Vous pouvez vous fier aux exemples qui vous sont donnés dans le fichier initial ou encore consulter l'AGDEX 824/825b, "Évaluation - Machinerie et bâtiment", des Références économiques ;</t>
    </r>
  </si>
  <si>
    <t>Mettre la valeur contributive ;</t>
  </si>
  <si>
    <t>Le bouton "Remise de tout à zéro" sert à effacer toutes les valeurs déjà inscrites et à réinitialiser les valeurs du calculateur pour les colonnes F à N.</t>
  </si>
  <si>
    <t>Notes :</t>
  </si>
  <si>
    <t>- Bâtiments laitiers : avec stalles et ventilation mais sans écureur et autres équipements</t>
  </si>
  <si>
    <t>- Bâtiments porcins : avec équipements mais sans génératrice</t>
  </si>
  <si>
    <t>Source : AGDEX : 824/825b et les coûts de constructions qui se retrouvent dans les AGDEX 700</t>
  </si>
  <si>
    <t>Date:</t>
  </si>
  <si>
    <t>Retour vers le calculateur simplifié</t>
  </si>
  <si>
    <t>Retour vers le calculateur complet</t>
  </si>
  <si>
    <t>Étable à veau de grain plancher latté</t>
  </si>
  <si>
    <t>Engraissement avec chambre et zone confort</t>
  </si>
  <si>
    <t xml:space="preserve">Maternité </t>
  </si>
</sst>
</file>

<file path=xl/styles.xml><?xml version="1.0" encoding="utf-8"?>
<styleSheet xmlns="http://schemas.openxmlformats.org/spreadsheetml/2006/main">
  <numFmts count="5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_-;#,##0\ &quot;$&quot;\-"/>
    <numFmt numFmtId="181" formatCode="#,##0\ &quot;$&quot;_-;[Red]#,##0\ &quot;$&quot;\-"/>
    <numFmt numFmtId="182" formatCode="#,##0.00\ &quot;$&quot;_-;#,##0.00\ &quot;$&quot;\-"/>
    <numFmt numFmtId="183" formatCode="#,##0.00\ &quot;$&quot;_-;[Red]#,##0.00\ &quot;$&quot;\-"/>
    <numFmt numFmtId="184" formatCode="_-* #,##0\ &quot;$&quot;_-;_-* #,##0\ &quot;$&quot;\-;_-* &quot;-&quot;\ &quot;$&quot;_-;_-@_-"/>
    <numFmt numFmtId="185" formatCode="_-* #,##0\ _$_-;_-* #,##0\ _$\-;_-* &quot;-&quot;\ _$_-;_-@_-"/>
    <numFmt numFmtId="186" formatCode="_-* #,##0.00\ &quot;$&quot;_-;_-* #,##0.00\ &quot;$&quot;\-;_-* &quot;-&quot;??\ &quot;$&quot;_-;_-@_-"/>
    <numFmt numFmtId="187" formatCode="_-* #,##0.00\ _$_-;_-* #,##0.00\ _$\-;_-* &quot;-&quot;??\ _$_-;_-@_-"/>
    <numFmt numFmtId="188" formatCode="0.0000000"/>
    <numFmt numFmtId="189" formatCode="0.000000"/>
    <numFmt numFmtId="190" formatCode="0.00000"/>
    <numFmt numFmtId="191" formatCode="0.0000"/>
    <numFmt numFmtId="192" formatCode="0.000"/>
    <numFmt numFmtId="193" formatCode="_ * #,##0.0_)\ &quot;$&quot;_ ;_ * \(#,##0.0\)\ &quot;$&quot;_ ;_ * &quot;-&quot;??_)\ &quot;$&quot;_ ;_ @_ "/>
    <numFmt numFmtId="194" formatCode="_ * #,##0_)\ &quot;$&quot;_ ;_ * \(#,##0\)\ &quot;$&quot;_ ;_ * &quot;-&quot;??_)\ &quot;$&quot;_ ;_ @_ "/>
    <numFmt numFmtId="195" formatCode="_ * #,##0.0_)\ _$_ ;_ * \(#,##0.0\)\ _$_ ;_ * &quot;-&quot;?_)\ _$_ ;_ @_ "/>
    <numFmt numFmtId="196" formatCode="_ * #,##0.0_)\ _$_ ;_ * \(#,##0.0\)\ _$_ ;_ * &quot;-&quot;??_)\ _$_ ;_ @_ "/>
    <numFmt numFmtId="197" formatCode="_ * #,##0_)\ _$_ ;_ * \(#,##0\)\ _$_ ;_ * &quot;-&quot;??_)\ _$_ ;_ @_ "/>
    <numFmt numFmtId="198" formatCode="0.0%"/>
    <numFmt numFmtId="199" formatCode="#,##0\ _$_-"/>
    <numFmt numFmtId="200" formatCode="#,##0\ &quot;$&quot;_-"/>
    <numFmt numFmtId="201" formatCode="0.0"/>
    <numFmt numFmtId="202" formatCode="#,##0.0"/>
    <numFmt numFmtId="203" formatCode="#,##0.0\ &quot;$&quot;_-"/>
    <numFmt numFmtId="204" formatCode="#,##0.00\ &quot;$&quot;_-"/>
    <numFmt numFmtId="205" formatCode="_ * #,##0.000_)\ &quot;$&quot;_ ;_ * \(#,##0.000\)\ &quot;$&quot;_ ;_ * &quot;-&quot;??_)\ &quot;$&quot;_ ;_ @_ "/>
    <numFmt numFmtId="206" formatCode="#,##0.000"/>
  </numFmts>
  <fonts count="72">
    <font>
      <sz val="10"/>
      <name val="Arial"/>
      <family val="0"/>
    </font>
    <font>
      <b/>
      <sz val="12"/>
      <name val="Arial"/>
      <family val="2"/>
    </font>
    <font>
      <u val="singleAccounting"/>
      <sz val="10"/>
      <name val="Arial"/>
      <family val="2"/>
    </font>
    <font>
      <b/>
      <sz val="10"/>
      <name val="Arial"/>
      <family val="2"/>
    </font>
    <font>
      <b/>
      <sz val="11"/>
      <name val="Arial"/>
      <family val="2"/>
    </font>
    <font>
      <sz val="11"/>
      <name val="Arial"/>
      <family val="2"/>
    </font>
    <font>
      <b/>
      <sz val="14"/>
      <name val="Arial"/>
      <family val="2"/>
    </font>
    <font>
      <b/>
      <u val="singleAccounting"/>
      <sz val="11"/>
      <name val="Arial"/>
      <family val="2"/>
    </font>
    <font>
      <sz val="8"/>
      <name val="Tahoma"/>
      <family val="2"/>
    </font>
    <font>
      <b/>
      <sz val="8"/>
      <name val="Tahoma"/>
      <family val="2"/>
    </font>
    <font>
      <b/>
      <sz val="14"/>
      <color indexed="12"/>
      <name val="Arial"/>
      <family val="2"/>
    </font>
    <font>
      <u val="single"/>
      <sz val="10"/>
      <name val="Arial"/>
      <family val="2"/>
    </font>
    <font>
      <b/>
      <sz val="16"/>
      <color indexed="12"/>
      <name val="Arial"/>
      <family val="2"/>
    </font>
    <font>
      <b/>
      <sz val="10"/>
      <color indexed="18"/>
      <name val="Arial"/>
      <family val="2"/>
    </font>
    <font>
      <i/>
      <sz val="9"/>
      <name val="Arial"/>
      <family val="2"/>
    </font>
    <font>
      <b/>
      <sz val="12"/>
      <color indexed="10"/>
      <name val="Arial"/>
      <family val="2"/>
    </font>
    <font>
      <sz val="8"/>
      <name val="Arial"/>
      <family val="2"/>
    </font>
    <font>
      <i/>
      <sz val="10"/>
      <name val="Arial"/>
      <family val="2"/>
    </font>
    <font>
      <b/>
      <u val="single"/>
      <sz val="11"/>
      <color indexed="12"/>
      <name val="Arial"/>
      <family val="2"/>
    </font>
    <font>
      <b/>
      <sz val="9"/>
      <name val="Arial"/>
      <family val="2"/>
    </font>
    <font>
      <sz val="9"/>
      <name val="Arial"/>
      <family val="2"/>
    </font>
    <font>
      <sz val="10"/>
      <color indexed="22"/>
      <name val="Arial"/>
      <family val="2"/>
    </font>
    <font>
      <b/>
      <u val="single"/>
      <sz val="11"/>
      <color indexed="36"/>
      <name val="Arial"/>
      <family val="2"/>
    </font>
    <font>
      <b/>
      <i/>
      <sz val="10"/>
      <color indexed="18"/>
      <name val="Arial"/>
      <family val="2"/>
    </font>
    <font>
      <sz val="10"/>
      <color indexed="9"/>
      <name val="Arial"/>
      <family val="2"/>
    </font>
    <font>
      <u val="single"/>
      <sz val="11"/>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b/>
      <sz val="9"/>
      <color indexed="8"/>
      <name val="Arial"/>
      <family val="0"/>
    </font>
    <font>
      <sz val="9"/>
      <color indexed="8"/>
      <name val="Arial"/>
      <family val="0"/>
    </font>
    <font>
      <sz val="10"/>
      <color indexed="8"/>
      <name val="Arial"/>
      <family val="0"/>
    </font>
    <font>
      <b/>
      <sz val="10"/>
      <color indexed="8"/>
      <name val="Arial"/>
      <family val="0"/>
    </font>
    <font>
      <u val="single"/>
      <sz val="10"/>
      <color indexed="48"/>
      <name val="Arial"/>
      <family val="0"/>
    </font>
    <font>
      <sz val="8"/>
      <color indexed="8"/>
      <name val="Arial"/>
      <family val="0"/>
    </font>
    <font>
      <b/>
      <sz val="13"/>
      <color indexed="8"/>
      <name val="Arial"/>
      <family val="0"/>
    </font>
    <font>
      <b/>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10"/>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double"/>
      <right style="thin"/>
      <top style="thin"/>
      <bottom style="thin"/>
    </border>
    <border>
      <left style="thin"/>
      <right style="thin"/>
      <top style="thin"/>
      <bottom style="thin"/>
    </border>
    <border>
      <left style="double"/>
      <right>
        <color indexed="63"/>
      </right>
      <top style="thin"/>
      <bottom style="thin"/>
    </border>
    <border>
      <left style="thin"/>
      <right style="thin"/>
      <top style="thin"/>
      <bottom>
        <color indexed="63"/>
      </bottom>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style="double"/>
      <bottom>
        <color indexed="63"/>
      </bottom>
    </border>
    <border>
      <left style="double"/>
      <right>
        <color indexed="63"/>
      </right>
      <top>
        <color indexed="63"/>
      </top>
      <bottom style="thin"/>
    </border>
    <border>
      <left>
        <color indexed="63"/>
      </left>
      <right>
        <color indexed="63"/>
      </right>
      <top style="thin"/>
      <bottom style="thin"/>
    </border>
    <border>
      <left>
        <color indexed="63"/>
      </left>
      <right style="double"/>
      <top style="medium"/>
      <bottom>
        <color indexed="63"/>
      </bottom>
    </border>
    <border>
      <left>
        <color indexed="63"/>
      </left>
      <right style="double"/>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0" fillId="27" borderId="3" applyNumberFormat="0" applyFont="0" applyAlignment="0" applyProtection="0"/>
    <xf numFmtId="0" fontId="57" fillId="28" borderId="1" applyNumberFormat="0" applyAlignment="0" applyProtection="0"/>
    <xf numFmtId="0" fontId="58" fillId="29"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9" fillId="30" borderId="0" applyNumberFormat="0" applyBorder="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242">
    <xf numFmtId="0" fontId="0" fillId="0" borderId="0" xfId="0" applyAlignment="1">
      <alignment/>
    </xf>
    <xf numFmtId="0" fontId="1" fillId="0" borderId="0" xfId="0" applyFont="1" applyAlignment="1">
      <alignment/>
    </xf>
    <xf numFmtId="0" fontId="0" fillId="0" borderId="0" xfId="0" applyAlignment="1">
      <alignment vertical="center"/>
    </xf>
    <xf numFmtId="0" fontId="6" fillId="0" borderId="0" xfId="0" applyFont="1" applyAlignment="1">
      <alignment/>
    </xf>
    <xf numFmtId="0" fontId="0" fillId="33" borderId="0" xfId="0" applyFill="1" applyBorder="1" applyAlignment="1">
      <alignment horizontal="center"/>
    </xf>
    <xf numFmtId="194" fontId="0" fillId="33" borderId="0" xfId="49" applyNumberFormat="1" applyFill="1" applyBorder="1" applyAlignment="1">
      <alignment horizontal="center"/>
    </xf>
    <xf numFmtId="0" fontId="0" fillId="34" borderId="0" xfId="0" applyFill="1" applyBorder="1" applyAlignment="1">
      <alignment horizont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194" fontId="4" fillId="33" borderId="12" xfId="49" applyNumberFormat="1" applyFont="1" applyFill="1" applyBorder="1" applyAlignment="1">
      <alignment horizontal="center"/>
    </xf>
    <xf numFmtId="9" fontId="0" fillId="33" borderId="0" xfId="53" applyNumberFormat="1" applyFill="1" applyBorder="1" applyAlignment="1">
      <alignment horizontal="center"/>
    </xf>
    <xf numFmtId="0" fontId="0" fillId="0" borderId="0" xfId="0" applyFill="1" applyBorder="1" applyAlignment="1">
      <alignment/>
    </xf>
    <xf numFmtId="0" fontId="0" fillId="0" borderId="0" xfId="0" applyFill="1" applyAlignment="1">
      <alignment/>
    </xf>
    <xf numFmtId="0" fontId="1" fillId="34" borderId="13" xfId="0" applyFont="1" applyFill="1" applyBorder="1" applyAlignment="1">
      <alignment/>
    </xf>
    <xf numFmtId="0" fontId="1" fillId="34" borderId="14" xfId="0" applyFont="1" applyFill="1" applyBorder="1" applyAlignment="1">
      <alignment horizontal="center"/>
    </xf>
    <xf numFmtId="0" fontId="0" fillId="34" borderId="15" xfId="0" applyFill="1" applyBorder="1" applyAlignment="1">
      <alignment/>
    </xf>
    <xf numFmtId="194" fontId="0" fillId="34" borderId="0" xfId="49" applyNumberFormat="1" applyFont="1" applyFill="1" applyBorder="1" applyAlignment="1">
      <alignment/>
    </xf>
    <xf numFmtId="0" fontId="0" fillId="34" borderId="16" xfId="0" applyFill="1" applyBorder="1" applyAlignment="1" quotePrefix="1">
      <alignment/>
    </xf>
    <xf numFmtId="0" fontId="0" fillId="34" borderId="16" xfId="0" applyFill="1" applyBorder="1" applyAlignment="1">
      <alignment/>
    </xf>
    <xf numFmtId="0" fontId="0" fillId="34" borderId="17" xfId="0" applyFill="1" applyBorder="1" applyAlignment="1">
      <alignment/>
    </xf>
    <xf numFmtId="0" fontId="0" fillId="34" borderId="12" xfId="0" applyFill="1" applyBorder="1" applyAlignment="1">
      <alignment horizontal="center"/>
    </xf>
    <xf numFmtId="0" fontId="0" fillId="34" borderId="18" xfId="0" applyFill="1" applyBorder="1" applyAlignment="1">
      <alignment/>
    </xf>
    <xf numFmtId="194" fontId="4" fillId="33" borderId="0" xfId="49" applyNumberFormat="1" applyFont="1" applyFill="1" applyBorder="1" applyAlignment="1">
      <alignment horizontal="center"/>
    </xf>
    <xf numFmtId="199" fontId="0" fillId="33" borderId="0" xfId="0" applyNumberFormat="1" applyFill="1" applyBorder="1" applyAlignment="1">
      <alignment horizontal="center"/>
    </xf>
    <xf numFmtId="199" fontId="4" fillId="33" borderId="10" xfId="0" applyNumberFormat="1" applyFont="1" applyFill="1" applyBorder="1" applyAlignment="1">
      <alignment horizontal="center" vertical="center"/>
    </xf>
    <xf numFmtId="199" fontId="0" fillId="0" borderId="0" xfId="0" applyNumberFormat="1" applyAlignment="1">
      <alignment/>
    </xf>
    <xf numFmtId="0" fontId="0" fillId="33" borderId="0" xfId="0" applyFont="1" applyFill="1" applyBorder="1" applyAlignment="1">
      <alignment horizontal="center"/>
    </xf>
    <xf numFmtId="0" fontId="0" fillId="33" borderId="0" xfId="0" applyFont="1" applyFill="1" applyBorder="1" applyAlignment="1">
      <alignment horizontal="center" vertical="center" wrapText="1"/>
    </xf>
    <xf numFmtId="0" fontId="0" fillId="0" borderId="0" xfId="0" applyFill="1" applyBorder="1" applyAlignment="1" quotePrefix="1">
      <alignment/>
    </xf>
    <xf numFmtId="0" fontId="0" fillId="0" borderId="0" xfId="0" applyFill="1" applyBorder="1" applyAlignment="1">
      <alignment horizontal="right"/>
    </xf>
    <xf numFmtId="0" fontId="0" fillId="0" borderId="10" xfId="0" applyBorder="1" applyAlignment="1">
      <alignment/>
    </xf>
    <xf numFmtId="0" fontId="0" fillId="0" borderId="10" xfId="0" applyBorder="1" applyAlignment="1">
      <alignment horizontal="center"/>
    </xf>
    <xf numFmtId="0" fontId="6" fillId="0" borderId="0" xfId="0" applyFont="1" applyAlignment="1">
      <alignment horizontal="right"/>
    </xf>
    <xf numFmtId="0" fontId="1" fillId="33" borderId="0" xfId="0" applyFont="1" applyFill="1" applyBorder="1" applyAlignment="1">
      <alignment/>
    </xf>
    <xf numFmtId="0" fontId="0" fillId="0" borderId="0" xfId="0" applyBorder="1" applyAlignment="1">
      <alignment/>
    </xf>
    <xf numFmtId="1" fontId="0" fillId="33" borderId="0" xfId="0" applyNumberFormat="1" applyFill="1" applyBorder="1" applyAlignment="1">
      <alignment horizontal="center"/>
    </xf>
    <xf numFmtId="0" fontId="0" fillId="33" borderId="0" xfId="0" applyFill="1" applyAlignment="1">
      <alignment/>
    </xf>
    <xf numFmtId="1" fontId="0" fillId="34" borderId="0" xfId="0" applyNumberFormat="1" applyFill="1" applyBorder="1" applyAlignment="1">
      <alignment horizontal="center"/>
    </xf>
    <xf numFmtId="2" fontId="0" fillId="33" borderId="0" xfId="0" applyNumberFormat="1" applyFill="1" applyBorder="1" applyAlignment="1">
      <alignment horizontal="center"/>
    </xf>
    <xf numFmtId="0" fontId="0" fillId="33" borderId="0" xfId="0" applyFill="1" applyBorder="1" applyAlignment="1">
      <alignment/>
    </xf>
    <xf numFmtId="3" fontId="0" fillId="33" borderId="0" xfId="0" applyNumberFormat="1" applyFill="1" applyBorder="1" applyAlignment="1">
      <alignment horizontal="center"/>
    </xf>
    <xf numFmtId="194" fontId="0" fillId="34" borderId="12" xfId="49" applyNumberFormat="1" applyFont="1" applyFill="1" applyBorder="1" applyAlignment="1">
      <alignment/>
    </xf>
    <xf numFmtId="3" fontId="0" fillId="34" borderId="0" xfId="0" applyNumberFormat="1" applyFill="1" applyBorder="1" applyAlignment="1">
      <alignment horizontal="center"/>
    </xf>
    <xf numFmtId="3" fontId="0" fillId="34" borderId="12" xfId="0" applyNumberFormat="1" applyFill="1" applyBorder="1" applyAlignment="1">
      <alignment horizontal="center"/>
    </xf>
    <xf numFmtId="4" fontId="0" fillId="34" borderId="0" xfId="0" applyNumberFormat="1" applyFill="1" applyBorder="1" applyAlignment="1">
      <alignment horizontal="center"/>
    </xf>
    <xf numFmtId="44" fontId="0" fillId="34" borderId="0" xfId="49" applyNumberFormat="1" applyFont="1" applyFill="1" applyBorder="1" applyAlignment="1">
      <alignment/>
    </xf>
    <xf numFmtId="2" fontId="0" fillId="34" borderId="0" xfId="0" applyNumberFormat="1" applyFill="1" applyBorder="1" applyAlignment="1">
      <alignment horizontal="center"/>
    </xf>
    <xf numFmtId="0" fontId="15" fillId="0" borderId="0" xfId="0" applyFont="1" applyAlignment="1">
      <alignment/>
    </xf>
    <xf numFmtId="0" fontId="0" fillId="0" borderId="0" xfId="0" applyAlignment="1">
      <alignment horizontal="left" wrapText="1" indent="1"/>
    </xf>
    <xf numFmtId="0" fontId="0" fillId="0" borderId="0" xfId="0" applyAlignment="1">
      <alignment horizontal="left" wrapText="1"/>
    </xf>
    <xf numFmtId="0" fontId="17" fillId="0" borderId="0" xfId="0" applyFont="1" applyAlignment="1">
      <alignment horizontal="left" wrapText="1" indent="2"/>
    </xf>
    <xf numFmtId="0" fontId="0" fillId="0" borderId="0" xfId="0" applyAlignment="1">
      <alignment horizontal="right"/>
    </xf>
    <xf numFmtId="0" fontId="1" fillId="0" borderId="0" xfId="0" applyFont="1" applyFill="1" applyAlignment="1">
      <alignment/>
    </xf>
    <xf numFmtId="0" fontId="14" fillId="0" borderId="0" xfId="0" applyFont="1" applyFill="1" applyBorder="1" applyAlignment="1">
      <alignment/>
    </xf>
    <xf numFmtId="194" fontId="7" fillId="33" borderId="0" xfId="49" applyNumberFormat="1" applyFont="1" applyFill="1" applyBorder="1" applyAlignment="1">
      <alignment horizontal="center" vertical="center"/>
    </xf>
    <xf numFmtId="4" fontId="0" fillId="34" borderId="0" xfId="49" applyNumberFormat="1" applyFont="1" applyFill="1" applyBorder="1" applyAlignment="1">
      <alignment/>
    </xf>
    <xf numFmtId="0" fontId="0" fillId="0" borderId="19" xfId="0" applyFill="1" applyBorder="1" applyAlignment="1">
      <alignment/>
    </xf>
    <xf numFmtId="0" fontId="19" fillId="0" borderId="0" xfId="0" applyFont="1" applyAlignment="1">
      <alignment/>
    </xf>
    <xf numFmtId="0" fontId="20" fillId="0" borderId="0" xfId="0" applyFont="1" applyAlignment="1">
      <alignment/>
    </xf>
    <xf numFmtId="199" fontId="0" fillId="0" borderId="10" xfId="0" applyNumberFormat="1" applyBorder="1" applyAlignment="1">
      <alignment/>
    </xf>
    <xf numFmtId="194" fontId="0" fillId="0" borderId="0" xfId="0" applyNumberFormat="1" applyAlignment="1">
      <alignment/>
    </xf>
    <xf numFmtId="0" fontId="20" fillId="0" borderId="0" xfId="0" applyFont="1" applyAlignment="1">
      <alignment vertical="top" wrapText="1"/>
    </xf>
    <xf numFmtId="0" fontId="0" fillId="0" borderId="0" xfId="0" applyAlignment="1">
      <alignment wrapText="1"/>
    </xf>
    <xf numFmtId="0" fontId="21" fillId="0" borderId="0" xfId="0" applyFont="1" applyAlignment="1">
      <alignment/>
    </xf>
    <xf numFmtId="199" fontId="0" fillId="33" borderId="12" xfId="0" applyNumberFormat="1" applyFill="1" applyBorder="1" applyAlignment="1">
      <alignment horizontal="center"/>
    </xf>
    <xf numFmtId="2" fontId="0" fillId="33" borderId="12" xfId="0" applyNumberFormat="1" applyFill="1" applyBorder="1" applyAlignment="1">
      <alignment horizontal="center"/>
    </xf>
    <xf numFmtId="194" fontId="0" fillId="33" borderId="12" xfId="49" applyNumberFormat="1" applyFill="1" applyBorder="1" applyAlignment="1">
      <alignment horizontal="center"/>
    </xf>
    <xf numFmtId="0" fontId="0" fillId="33" borderId="12" xfId="0" applyFill="1" applyBorder="1" applyAlignment="1">
      <alignment horizontal="center"/>
    </xf>
    <xf numFmtId="9" fontId="0" fillId="33" borderId="12" xfId="53" applyNumberFormat="1" applyFill="1" applyBorder="1" applyAlignment="1">
      <alignment horizontal="center"/>
    </xf>
    <xf numFmtId="0" fontId="0" fillId="35" borderId="20" xfId="0" applyFill="1" applyBorder="1" applyAlignment="1">
      <alignment vertical="center"/>
    </xf>
    <xf numFmtId="0" fontId="0" fillId="35" borderId="21" xfId="0" applyFill="1" applyBorder="1" applyAlignment="1">
      <alignment/>
    </xf>
    <xf numFmtId="0" fontId="0" fillId="35" borderId="21" xfId="0" applyFill="1" applyBorder="1" applyAlignment="1">
      <alignment horizontal="center" vertical="center"/>
    </xf>
    <xf numFmtId="0" fontId="0" fillId="35" borderId="21" xfId="0" applyFill="1" applyBorder="1" applyAlignment="1">
      <alignment horizontal="center"/>
    </xf>
    <xf numFmtId="1" fontId="0" fillId="35" borderId="21" xfId="0" applyNumberFormat="1" applyFill="1" applyBorder="1" applyAlignment="1">
      <alignment horizontal="center"/>
    </xf>
    <xf numFmtId="0" fontId="0" fillId="35" borderId="20" xfId="0" applyFill="1" applyBorder="1" applyAlignment="1">
      <alignment/>
    </xf>
    <xf numFmtId="0" fontId="0" fillId="35" borderId="10" xfId="0" applyFill="1" applyBorder="1" applyAlignment="1">
      <alignment/>
    </xf>
    <xf numFmtId="0" fontId="0" fillId="35" borderId="10" xfId="0" applyFill="1" applyBorder="1" applyAlignment="1">
      <alignment horizontal="center"/>
    </xf>
    <xf numFmtId="0" fontId="0" fillId="35" borderId="22" xfId="0" applyFill="1" applyBorder="1" applyAlignment="1">
      <alignment/>
    </xf>
    <xf numFmtId="3" fontId="0" fillId="35" borderId="21" xfId="0" applyNumberFormat="1" applyFill="1" applyBorder="1" applyAlignment="1">
      <alignment horizontal="center"/>
    </xf>
    <xf numFmtId="0" fontId="0" fillId="35" borderId="23" xfId="0" applyFill="1" applyBorder="1" applyAlignment="1">
      <alignment/>
    </xf>
    <xf numFmtId="3" fontId="0" fillId="35" borderId="23" xfId="0" applyNumberFormat="1" applyFill="1" applyBorder="1" applyAlignment="1">
      <alignment horizontal="center"/>
    </xf>
    <xf numFmtId="2" fontId="0" fillId="35" borderId="21" xfId="0" applyNumberFormat="1" applyFill="1" applyBorder="1" applyAlignment="1">
      <alignment horizont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35" borderId="21" xfId="0" applyFont="1" applyFill="1" applyBorder="1" applyAlignment="1">
      <alignment horizontal="center"/>
    </xf>
    <xf numFmtId="3" fontId="0" fillId="35" borderId="21" xfId="0" applyNumberFormat="1" applyFont="1" applyFill="1" applyBorder="1" applyAlignment="1">
      <alignment horizontal="center"/>
    </xf>
    <xf numFmtId="199" fontId="0" fillId="35" borderId="21" xfId="0" applyNumberFormat="1" applyFill="1" applyBorder="1" applyAlignment="1">
      <alignment/>
    </xf>
    <xf numFmtId="9" fontId="0" fillId="35" borderId="21" xfId="53" applyFill="1" applyBorder="1" applyAlignment="1">
      <alignment horizontal="center"/>
    </xf>
    <xf numFmtId="0" fontId="10" fillId="0" borderId="15" xfId="0"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199" fontId="4" fillId="0" borderId="0" xfId="0" applyNumberFormat="1" applyFont="1" applyFill="1" applyBorder="1" applyAlignment="1">
      <alignment horizontal="center"/>
    </xf>
    <xf numFmtId="0" fontId="1" fillId="0" borderId="0" xfId="0" applyFont="1" applyFill="1" applyBorder="1" applyAlignment="1">
      <alignment/>
    </xf>
    <xf numFmtId="0" fontId="4" fillId="0" borderId="16" xfId="0" applyFont="1" applyFill="1" applyBorder="1" applyAlignment="1">
      <alignment/>
    </xf>
    <xf numFmtId="0" fontId="4" fillId="0" borderId="15" xfId="0" applyFont="1" applyFill="1" applyBorder="1" applyAlignment="1">
      <alignment vertical="center"/>
    </xf>
    <xf numFmtId="0" fontId="4" fillId="0" borderId="10" xfId="0" applyFont="1" applyFill="1" applyBorder="1" applyAlignment="1">
      <alignment horizontal="center" vertical="center"/>
    </xf>
    <xf numFmtId="0" fontId="18" fillId="0" borderId="0" xfId="45" applyFill="1" applyBorder="1" applyAlignment="1" applyProtection="1">
      <alignment horizontal="center" vertical="center" wrapText="1"/>
      <protection/>
    </xf>
    <xf numFmtId="0" fontId="18" fillId="0" borderId="0" xfId="45"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199" fontId="0" fillId="0" borderId="0" xfId="0" applyNumberFormat="1" applyFill="1" applyBorder="1" applyAlignment="1">
      <alignment horizontal="center"/>
    </xf>
    <xf numFmtId="1" fontId="0" fillId="0" borderId="0" xfId="0" applyNumberFormat="1" applyFill="1" applyBorder="1" applyAlignment="1">
      <alignment horizontal="center"/>
    </xf>
    <xf numFmtId="194" fontId="0" fillId="0" borderId="0" xfId="49" applyNumberFormat="1" applyFill="1" applyBorder="1" applyAlignment="1">
      <alignment horizontal="center"/>
    </xf>
    <xf numFmtId="0" fontId="0" fillId="0" borderId="0" xfId="0" applyFill="1" applyBorder="1" applyAlignment="1">
      <alignment horizontal="center"/>
    </xf>
    <xf numFmtId="9" fontId="0" fillId="0" borderId="0" xfId="53" applyNumberFormat="1" applyFill="1" applyBorder="1" applyAlignment="1">
      <alignment horizontal="center"/>
    </xf>
    <xf numFmtId="194" fontId="0" fillId="0" borderId="16" xfId="49" applyNumberFormat="1" applyFill="1" applyBorder="1" applyAlignment="1">
      <alignment horizontal="center"/>
    </xf>
    <xf numFmtId="194" fontId="4" fillId="0" borderId="18" xfId="49" applyNumberFormat="1" applyFont="1" applyFill="1" applyBorder="1" applyAlignment="1">
      <alignment horizontal="center"/>
    </xf>
    <xf numFmtId="194" fontId="3" fillId="0" borderId="24" xfId="49" applyNumberFormat="1" applyFont="1" applyFill="1" applyBorder="1" applyAlignment="1">
      <alignment horizontal="center"/>
    </xf>
    <xf numFmtId="194" fontId="4" fillId="0" borderId="24" xfId="0" applyNumberFormat="1" applyFont="1" applyFill="1" applyBorder="1" applyAlignment="1">
      <alignment/>
    </xf>
    <xf numFmtId="194" fontId="2" fillId="0" borderId="16" xfId="49" applyNumberFormat="1" applyFont="1" applyFill="1" applyBorder="1" applyAlignment="1">
      <alignment horizontal="center"/>
    </xf>
    <xf numFmtId="194" fontId="4" fillId="0" borderId="16" xfId="49" applyNumberFormat="1" applyFont="1" applyFill="1" applyBorder="1" applyAlignment="1">
      <alignment horizontal="center"/>
    </xf>
    <xf numFmtId="194" fontId="11" fillId="0" borderId="16" xfId="49" applyNumberFormat="1" applyFont="1" applyFill="1" applyBorder="1" applyAlignment="1">
      <alignment horizontal="center"/>
    </xf>
    <xf numFmtId="194" fontId="4" fillId="0" borderId="24" xfId="49" applyNumberFormat="1" applyFont="1" applyFill="1" applyBorder="1" applyAlignment="1">
      <alignment horizontal="center"/>
    </xf>
    <xf numFmtId="200" fontId="0" fillId="0" borderId="16" xfId="0" applyNumberFormat="1" applyFont="1" applyFill="1" applyBorder="1" applyAlignment="1">
      <alignment horizontal="center" vertical="center"/>
    </xf>
    <xf numFmtId="0" fontId="0" fillId="0" borderId="24" xfId="0" applyFill="1" applyBorder="1" applyAlignment="1">
      <alignment/>
    </xf>
    <xf numFmtId="194" fontId="4" fillId="0" borderId="12" xfId="49" applyNumberFormat="1" applyFont="1" applyFill="1" applyBorder="1" applyAlignment="1">
      <alignment horizontal="center"/>
    </xf>
    <xf numFmtId="194" fontId="3" fillId="0" borderId="25" xfId="0" applyNumberFormat="1" applyFont="1" applyFill="1" applyBorder="1" applyAlignment="1">
      <alignment horizontal="center"/>
    </xf>
    <xf numFmtId="194" fontId="4" fillId="0" borderId="25" xfId="0" applyNumberFormat="1" applyFont="1" applyFill="1" applyBorder="1" applyAlignment="1">
      <alignment/>
    </xf>
    <xf numFmtId="194" fontId="11" fillId="0" borderId="0" xfId="49" applyNumberFormat="1" applyFont="1" applyFill="1" applyBorder="1" applyAlignment="1">
      <alignment horizontal="center"/>
    </xf>
    <xf numFmtId="194" fontId="4" fillId="0" borderId="0" xfId="49" applyNumberFormat="1" applyFont="1" applyFill="1" applyBorder="1" applyAlignment="1">
      <alignment horizontal="center"/>
    </xf>
    <xf numFmtId="194" fontId="0" fillId="0" borderId="0" xfId="49" applyNumberFormat="1" applyFont="1" applyFill="1" applyBorder="1" applyAlignment="1">
      <alignment horizontal="center"/>
    </xf>
    <xf numFmtId="194" fontId="4" fillId="0" borderId="25" xfId="49" applyNumberFormat="1" applyFont="1" applyFill="1" applyBorder="1" applyAlignment="1">
      <alignment horizontal="center"/>
    </xf>
    <xf numFmtId="0" fontId="0" fillId="0" borderId="25" xfId="0" applyFill="1" applyBorder="1" applyAlignment="1">
      <alignment/>
    </xf>
    <xf numFmtId="0" fontId="4" fillId="0" borderId="17" xfId="0" applyFont="1" applyFill="1" applyBorder="1" applyAlignment="1">
      <alignment/>
    </xf>
    <xf numFmtId="0" fontId="4" fillId="0" borderId="12" xfId="0" applyFont="1" applyFill="1" applyBorder="1" applyAlignment="1">
      <alignment/>
    </xf>
    <xf numFmtId="0" fontId="4" fillId="0" borderId="12" xfId="0" applyFont="1" applyFill="1" applyBorder="1" applyAlignment="1">
      <alignment horizontal="center" vertical="center"/>
    </xf>
    <xf numFmtId="0" fontId="4" fillId="0" borderId="12" xfId="0" applyFont="1" applyFill="1" applyBorder="1" applyAlignment="1">
      <alignment horizontal="center"/>
    </xf>
    <xf numFmtId="199" fontId="4" fillId="0" borderId="12" xfId="0" applyNumberFormat="1" applyFont="1" applyFill="1" applyBorder="1" applyAlignment="1">
      <alignment horizontal="center"/>
    </xf>
    <xf numFmtId="9" fontId="4" fillId="0" borderId="12" xfId="53" applyFont="1" applyFill="1" applyBorder="1" applyAlignment="1">
      <alignment horizontal="center"/>
    </xf>
    <xf numFmtId="194" fontId="7" fillId="0" borderId="12" xfId="49" applyNumberFormat="1" applyFont="1" applyFill="1" applyBorder="1" applyAlignment="1">
      <alignment horizontal="center"/>
    </xf>
    <xf numFmtId="0" fontId="10" fillId="0" borderId="26" xfId="0" applyFont="1" applyFill="1" applyBorder="1" applyAlignment="1">
      <alignment/>
    </xf>
    <xf numFmtId="0" fontId="10" fillId="0" borderId="25" xfId="0" applyFont="1" applyFill="1" applyBorder="1" applyAlignment="1">
      <alignment/>
    </xf>
    <xf numFmtId="0" fontId="3" fillId="0" borderId="25" xfId="0" applyFont="1" applyFill="1" applyBorder="1" applyAlignment="1">
      <alignment horizontal="center" vertical="center"/>
    </xf>
    <xf numFmtId="0" fontId="3" fillId="0" borderId="25" xfId="0" applyFont="1" applyFill="1" applyBorder="1" applyAlignment="1">
      <alignment horizontal="center"/>
    </xf>
    <xf numFmtId="199" fontId="3" fillId="0" borderId="25" xfId="0" applyNumberFormat="1" applyFont="1" applyFill="1" applyBorder="1" applyAlignment="1">
      <alignment horizontal="center"/>
    </xf>
    <xf numFmtId="0" fontId="1" fillId="0" borderId="25" xfId="0" applyFont="1" applyFill="1" applyBorder="1" applyAlignment="1">
      <alignment/>
    </xf>
    <xf numFmtId="0" fontId="0" fillId="0" borderId="27" xfId="0" applyFill="1" applyBorder="1" applyAlignment="1">
      <alignment/>
    </xf>
    <xf numFmtId="0" fontId="0" fillId="0" borderId="25" xfId="0" applyFill="1" applyBorder="1" applyAlignment="1">
      <alignment vertical="center"/>
    </xf>
    <xf numFmtId="199" fontId="0" fillId="0" borderId="25" xfId="0" applyNumberFormat="1" applyFill="1" applyBorder="1" applyAlignment="1">
      <alignment/>
    </xf>
    <xf numFmtId="0" fontId="4" fillId="0" borderId="25" xfId="0" applyFont="1" applyFill="1" applyBorder="1" applyAlignment="1">
      <alignment/>
    </xf>
    <xf numFmtId="0" fontId="4" fillId="0" borderId="25" xfId="0" applyFont="1" applyFill="1" applyBorder="1" applyAlignment="1">
      <alignment horizontal="right"/>
    </xf>
    <xf numFmtId="0" fontId="5" fillId="0" borderId="25" xfId="0" applyFont="1" applyFill="1" applyBorder="1" applyAlignment="1">
      <alignment/>
    </xf>
    <xf numFmtId="199" fontId="4" fillId="0" borderId="10" xfId="0" applyNumberFormat="1" applyFont="1" applyFill="1" applyBorder="1" applyAlignment="1">
      <alignment horizontal="center" vertical="center"/>
    </xf>
    <xf numFmtId="0" fontId="1" fillId="0" borderId="15" xfId="0" applyFont="1" applyFill="1" applyBorder="1" applyAlignment="1">
      <alignment/>
    </xf>
    <xf numFmtId="2" fontId="0" fillId="0" borderId="0" xfId="0" applyNumberFormat="1" applyFill="1" applyBorder="1" applyAlignment="1">
      <alignment horizontal="center"/>
    </xf>
    <xf numFmtId="3" fontId="3" fillId="0" borderId="0" xfId="0" applyNumberFormat="1" applyFont="1" applyFill="1" applyBorder="1" applyAlignment="1">
      <alignment horizontal="center"/>
    </xf>
    <xf numFmtId="194" fontId="2" fillId="0" borderId="0" xfId="49" applyNumberFormat="1" applyFont="1" applyFill="1" applyBorder="1" applyAlignment="1">
      <alignment horizontal="center"/>
    </xf>
    <xf numFmtId="9" fontId="0" fillId="0" borderId="0" xfId="53" applyFill="1" applyBorder="1" applyAlignment="1">
      <alignment horizontal="center"/>
    </xf>
    <xf numFmtId="199" fontId="4" fillId="0" borderId="10" xfId="0" applyNumberFormat="1" applyFont="1" applyFill="1" applyBorder="1" applyAlignment="1">
      <alignment horizontal="center"/>
    </xf>
    <xf numFmtId="199" fontId="0" fillId="0" borderId="0" xfId="0" applyNumberFormat="1" applyFont="1" applyFill="1" applyBorder="1" applyAlignment="1">
      <alignment horizontal="center"/>
    </xf>
    <xf numFmtId="3" fontId="0" fillId="0" borderId="0" xfId="0" applyNumberFormat="1" applyFill="1" applyBorder="1" applyAlignment="1">
      <alignment horizontal="center"/>
    </xf>
    <xf numFmtId="0" fontId="0" fillId="0" borderId="10" xfId="0" applyFill="1" applyBorder="1" applyAlignment="1">
      <alignment/>
    </xf>
    <xf numFmtId="9" fontId="4" fillId="0" borderId="0" xfId="53" applyFont="1" applyFill="1" applyBorder="1" applyAlignment="1">
      <alignment horizontal="center"/>
    </xf>
    <xf numFmtId="9" fontId="0" fillId="0" borderId="0" xfId="53" applyNumberFormat="1" applyFont="1" applyFill="1" applyBorder="1" applyAlignment="1">
      <alignment horizontal="center"/>
    </xf>
    <xf numFmtId="9" fontId="4" fillId="0" borderId="25" xfId="53" applyFont="1" applyFill="1" applyBorder="1" applyAlignment="1">
      <alignment horizontal="center"/>
    </xf>
    <xf numFmtId="0" fontId="0" fillId="0" borderId="0" xfId="0" applyFont="1" applyFill="1" applyBorder="1" applyAlignment="1">
      <alignment horizontal="center"/>
    </xf>
    <xf numFmtId="0" fontId="4" fillId="0" borderId="12" xfId="0" applyFont="1" applyFill="1" applyBorder="1" applyAlignment="1">
      <alignment vertical="center"/>
    </xf>
    <xf numFmtId="9" fontId="4" fillId="0" borderId="12" xfId="53" applyFont="1" applyFill="1" applyBorder="1" applyAlignment="1">
      <alignment horizontal="center" vertical="center"/>
    </xf>
    <xf numFmtId="0" fontId="0" fillId="0" borderId="15" xfId="0" applyFill="1" applyBorder="1" applyAlignment="1">
      <alignment/>
    </xf>
    <xf numFmtId="0" fontId="0" fillId="0" borderId="0" xfId="0" applyFill="1" applyAlignment="1">
      <alignment vertical="center"/>
    </xf>
    <xf numFmtId="194" fontId="7" fillId="0" borderId="12" xfId="49" applyNumberFormat="1" applyFont="1" applyFill="1" applyBorder="1" applyAlignment="1">
      <alignment horizontal="center" vertical="center"/>
    </xf>
    <xf numFmtId="0" fontId="10" fillId="33" borderId="15" xfId="0" applyFont="1" applyFill="1" applyBorder="1" applyAlignment="1">
      <alignment/>
    </xf>
    <xf numFmtId="0" fontId="10" fillId="33" borderId="0" xfId="0" applyFont="1" applyFill="1" applyBorder="1" applyAlignment="1">
      <alignment/>
    </xf>
    <xf numFmtId="199" fontId="0" fillId="33" borderId="0" xfId="0" applyNumberFormat="1" applyFill="1" applyBorder="1" applyAlignment="1">
      <alignment/>
    </xf>
    <xf numFmtId="0" fontId="0" fillId="33" borderId="16" xfId="0" applyFill="1" applyBorder="1" applyAlignment="1">
      <alignment/>
    </xf>
    <xf numFmtId="0" fontId="3" fillId="33" borderId="27" xfId="0" applyFont="1" applyFill="1" applyBorder="1" applyAlignment="1">
      <alignment/>
    </xf>
    <xf numFmtId="0" fontId="3" fillId="33" borderId="10" xfId="0" applyFont="1" applyFill="1" applyBorder="1" applyAlignment="1">
      <alignment/>
    </xf>
    <xf numFmtId="0" fontId="10" fillId="33" borderId="17" xfId="0" applyFont="1" applyFill="1" applyBorder="1" applyAlignment="1">
      <alignment/>
    </xf>
    <xf numFmtId="0" fontId="10" fillId="33" borderId="12" xfId="0" applyFont="1" applyFill="1" applyBorder="1" applyAlignment="1">
      <alignment/>
    </xf>
    <xf numFmtId="0" fontId="1" fillId="33" borderId="12" xfId="0" applyFont="1" applyFill="1" applyBorder="1" applyAlignment="1">
      <alignment/>
    </xf>
    <xf numFmtId="199" fontId="1" fillId="33" borderId="12" xfId="0" applyNumberFormat="1" applyFont="1" applyFill="1" applyBorder="1" applyAlignment="1">
      <alignment/>
    </xf>
    <xf numFmtId="194" fontId="1" fillId="33" borderId="12" xfId="0" applyNumberFormat="1" applyFont="1" applyFill="1" applyBorder="1" applyAlignment="1">
      <alignment/>
    </xf>
    <xf numFmtId="194" fontId="1" fillId="33" borderId="18" xfId="0" applyNumberFormat="1" applyFont="1" applyFill="1" applyBorder="1" applyAlignment="1">
      <alignment/>
    </xf>
    <xf numFmtId="0" fontId="0" fillId="0" borderId="22" xfId="0" applyFill="1" applyBorder="1" applyAlignment="1">
      <alignment/>
    </xf>
    <xf numFmtId="194" fontId="0" fillId="0" borderId="12" xfId="49" applyNumberFormat="1" applyFill="1" applyBorder="1" applyAlignment="1">
      <alignment horizontal="center"/>
    </xf>
    <xf numFmtId="199" fontId="0" fillId="35" borderId="0" xfId="0" applyNumberFormat="1" applyFill="1" applyBorder="1" applyAlignment="1">
      <alignment horizontal="center"/>
    </xf>
    <xf numFmtId="1" fontId="0" fillId="35" borderId="0" xfId="0" applyNumberFormat="1" applyFill="1" applyBorder="1" applyAlignment="1">
      <alignment horizontal="center"/>
    </xf>
    <xf numFmtId="2" fontId="0" fillId="35" borderId="0" xfId="0" applyNumberFormat="1" applyFill="1" applyBorder="1" applyAlignment="1">
      <alignment horizontal="center"/>
    </xf>
    <xf numFmtId="199" fontId="0" fillId="35" borderId="0" xfId="0" applyNumberFormat="1" applyFont="1" applyFill="1" applyBorder="1" applyAlignment="1">
      <alignment horizontal="center"/>
    </xf>
    <xf numFmtId="3" fontId="0" fillId="35" borderId="0"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vertical="center"/>
    </xf>
    <xf numFmtId="3" fontId="0" fillId="0" borderId="12" xfId="0" applyNumberFormat="1" applyFill="1" applyBorder="1" applyAlignment="1">
      <alignment horizontal="center"/>
    </xf>
    <xf numFmtId="199" fontId="0" fillId="0" borderId="12" xfId="0" applyNumberFormat="1" applyFill="1" applyBorder="1" applyAlignment="1">
      <alignment horizontal="center"/>
    </xf>
    <xf numFmtId="2" fontId="0" fillId="0" borderId="12" xfId="0" applyNumberFormat="1" applyFill="1" applyBorder="1" applyAlignment="1">
      <alignment horizontal="center"/>
    </xf>
    <xf numFmtId="1" fontId="0" fillId="0" borderId="12" xfId="0" applyNumberFormat="1" applyFill="1" applyBorder="1" applyAlignment="1">
      <alignment horizontal="center"/>
    </xf>
    <xf numFmtId="0" fontId="0" fillId="0" borderId="12" xfId="0" applyFill="1" applyBorder="1" applyAlignment="1">
      <alignment horizontal="center"/>
    </xf>
    <xf numFmtId="9" fontId="0" fillId="0" borderId="12" xfId="53" applyNumberFormat="1" applyFill="1" applyBorder="1" applyAlignment="1">
      <alignment horizontal="center"/>
    </xf>
    <xf numFmtId="9" fontId="0" fillId="0" borderId="12" xfId="53" applyFill="1" applyBorder="1" applyAlignment="1">
      <alignment horizontal="center"/>
    </xf>
    <xf numFmtId="0" fontId="3" fillId="0" borderId="0" xfId="0" applyFont="1" applyAlignment="1">
      <alignment wrapText="1"/>
    </xf>
    <xf numFmtId="0" fontId="24" fillId="0" borderId="0" xfId="0" applyFont="1" applyAlignment="1">
      <alignment vertical="center"/>
    </xf>
    <xf numFmtId="0" fontId="24" fillId="0" borderId="0" xfId="0" applyFont="1" applyAlignment="1">
      <alignment/>
    </xf>
    <xf numFmtId="0" fontId="19" fillId="0" borderId="0" xfId="0" applyFont="1" applyAlignment="1">
      <alignment/>
    </xf>
    <xf numFmtId="0" fontId="20" fillId="0" borderId="0" xfId="0" applyFont="1" applyAlignment="1">
      <alignment/>
    </xf>
    <xf numFmtId="0" fontId="20" fillId="0" borderId="0" xfId="0" applyFont="1" applyAlignment="1">
      <alignment horizontal="left" wrapText="1" inden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left" indent="2"/>
    </xf>
    <xf numFmtId="0" fontId="19" fillId="0" borderId="0" xfId="0" applyFont="1" applyAlignment="1">
      <alignment horizontal="center"/>
    </xf>
    <xf numFmtId="0" fontId="20" fillId="0" borderId="0" xfId="0" applyFont="1" applyAlignment="1">
      <alignment horizontal="left" wrapText="1"/>
    </xf>
    <xf numFmtId="0" fontId="0" fillId="0" borderId="0" xfId="0" applyFont="1" applyAlignment="1">
      <alignment horizontal="right" wrapText="1"/>
    </xf>
    <xf numFmtId="0" fontId="0" fillId="0" borderId="10" xfId="0" applyBorder="1" applyAlignment="1" applyProtection="1">
      <alignment/>
      <protection locked="0"/>
    </xf>
    <xf numFmtId="199" fontId="0" fillId="0" borderId="10" xfId="0" applyNumberFormat="1" applyBorder="1" applyAlignment="1" applyProtection="1">
      <alignment/>
      <protection locked="0"/>
    </xf>
    <xf numFmtId="0" fontId="3" fillId="0" borderId="28" xfId="0" applyFont="1" applyBorder="1" applyAlignment="1" applyProtection="1">
      <alignment wrapText="1"/>
      <protection locked="0"/>
    </xf>
    <xf numFmtId="0" fontId="0" fillId="0" borderId="28" xfId="0" applyFont="1" applyBorder="1" applyAlignment="1" applyProtection="1">
      <alignment wrapText="1"/>
      <protection locked="0"/>
    </xf>
    <xf numFmtId="0" fontId="25" fillId="0" borderId="0" xfId="45" applyFont="1" applyAlignment="1" applyProtection="1">
      <alignment/>
      <protection locked="0"/>
    </xf>
    <xf numFmtId="0" fontId="25" fillId="0" borderId="0" xfId="45" applyFont="1" applyAlignment="1" applyProtection="1">
      <alignment/>
      <protection/>
    </xf>
    <xf numFmtId="4" fontId="0" fillId="35" borderId="21" xfId="0" applyNumberFormat="1" applyFill="1" applyBorder="1" applyAlignment="1">
      <alignment horizontal="center"/>
    </xf>
    <xf numFmtId="0" fontId="69" fillId="0" borderId="0" xfId="0" applyFont="1" applyAlignment="1">
      <alignment/>
    </xf>
    <xf numFmtId="0" fontId="0" fillId="34" borderId="15" xfId="0" applyFont="1" applyFill="1" applyBorder="1" applyAlignment="1">
      <alignment/>
    </xf>
    <xf numFmtId="0" fontId="0" fillId="35" borderId="20" xfId="0" applyFont="1" applyFill="1" applyBorder="1" applyAlignment="1">
      <alignment vertical="center"/>
    </xf>
    <xf numFmtId="194" fontId="0" fillId="34" borderId="0" xfId="49" applyNumberFormat="1" applyFont="1" applyFill="1" applyBorder="1" applyAlignment="1">
      <alignment/>
    </xf>
    <xf numFmtId="0" fontId="0" fillId="0" borderId="0" xfId="0" applyFont="1" applyFill="1" applyAlignment="1">
      <alignment/>
    </xf>
    <xf numFmtId="15" fontId="0" fillId="0" borderId="0" xfId="0" applyNumberFormat="1" applyAlignment="1">
      <alignment horizontal="left"/>
    </xf>
    <xf numFmtId="0" fontId="70" fillId="0" borderId="0" xfId="0" applyFont="1" applyAlignment="1">
      <alignment/>
    </xf>
    <xf numFmtId="205" fontId="70" fillId="0" borderId="0" xfId="0" applyNumberFormat="1" applyFont="1" applyAlignment="1">
      <alignment/>
    </xf>
    <xf numFmtId="206" fontId="70" fillId="0" borderId="0" xfId="0" applyNumberFormat="1" applyFont="1" applyAlignment="1">
      <alignment/>
    </xf>
    <xf numFmtId="0" fontId="6" fillId="0" borderId="0" xfId="0" applyFont="1" applyAlignment="1">
      <alignment horizontal="center"/>
    </xf>
    <xf numFmtId="0" fontId="1" fillId="34" borderId="14" xfId="0" applyFont="1" applyFill="1" applyBorder="1" applyAlignment="1">
      <alignment horizontal="center"/>
    </xf>
    <xf numFmtId="0" fontId="20" fillId="0" borderId="0" xfId="0" applyFont="1" applyAlignment="1">
      <alignment horizontal="left" wrapText="1"/>
    </xf>
    <xf numFmtId="0" fontId="20" fillId="0" borderId="0" xfId="0" applyFont="1" applyAlignment="1">
      <alignment wrapText="1"/>
    </xf>
    <xf numFmtId="0" fontId="19" fillId="0" borderId="0" xfId="0" applyFont="1" applyAlignment="1">
      <alignment horizontal="left" wrapText="1"/>
    </xf>
    <xf numFmtId="0" fontId="1" fillId="0" borderId="0" xfId="0" applyFont="1" applyAlignment="1">
      <alignment horizontal="center"/>
    </xf>
    <xf numFmtId="0" fontId="20" fillId="0" borderId="0" xfId="0" applyFont="1" applyAlignment="1">
      <alignment horizontal="left" wrapText="1" indent="1"/>
    </xf>
    <xf numFmtId="0" fontId="14" fillId="0" borderId="0" xfId="0" applyFont="1" applyAlignment="1">
      <alignment horizontal="left" wrapText="1" indent="2"/>
    </xf>
    <xf numFmtId="0" fontId="18" fillId="0" borderId="0" xfId="45" applyAlignment="1" applyProtection="1">
      <alignment horizontal="left" vertical="top"/>
      <protection/>
    </xf>
    <xf numFmtId="0" fontId="20" fillId="0" borderId="0" xfId="0" applyFont="1" applyAlignment="1">
      <alignment horizontal="justify" vertical="top" wrapText="1"/>
    </xf>
    <xf numFmtId="0" fontId="20" fillId="0" borderId="0" xfId="0" applyFont="1" applyAlignment="1">
      <alignment horizontal="left" vertical="top" wrapText="1"/>
    </xf>
    <xf numFmtId="0" fontId="4" fillId="0" borderId="2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xf>
    <xf numFmtId="0" fontId="10" fillId="0" borderId="26" xfId="0" applyFont="1" applyFill="1" applyBorder="1" applyAlignment="1">
      <alignment/>
    </xf>
    <xf numFmtId="0" fontId="10" fillId="0" borderId="25" xfId="0" applyFont="1" applyFill="1" applyBorder="1" applyAlignment="1">
      <alignment/>
    </xf>
    <xf numFmtId="0" fontId="0" fillId="0" borderId="25" xfId="0" applyFill="1" applyBorder="1" applyAlignment="1">
      <alignment/>
    </xf>
    <xf numFmtId="0" fontId="12" fillId="0" borderId="0" xfId="0" applyFont="1" applyAlignment="1">
      <alignment horizontal="center"/>
    </xf>
    <xf numFmtId="0" fontId="0" fillId="0" borderId="0" xfId="0" applyAlignment="1">
      <alignment horizontal="center"/>
    </xf>
    <xf numFmtId="0" fontId="0" fillId="34" borderId="30" xfId="0" applyFill="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Monétaire 2"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 Id="rId4" Type="http://schemas.openxmlformats.org/officeDocument/2006/relationships/hyperlink" Target="#'Guide de l''utilisateur'!A111:J119"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 Id="rId4" Type="http://schemas.openxmlformats.org/officeDocument/2006/relationships/hyperlink" Target="#'Guide de l''utilisateur'!A111:J11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17</xdr:row>
      <xdr:rowOff>47625</xdr:rowOff>
    </xdr:from>
    <xdr:to>
      <xdr:col>6</xdr:col>
      <xdr:colOff>28575</xdr:colOff>
      <xdr:row>20</xdr:row>
      <xdr:rowOff>95250</xdr:rowOff>
    </xdr:to>
    <xdr:sp>
      <xdr:nvSpPr>
        <xdr:cNvPr id="1" name="Rectangle 1"/>
        <xdr:cNvSpPr>
          <a:spLocks/>
        </xdr:cNvSpPr>
      </xdr:nvSpPr>
      <xdr:spPr>
        <a:xfrm>
          <a:off x="2419350" y="2867025"/>
          <a:ext cx="1038225" cy="533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Valeur à neuf</a:t>
          </a:r>
          <a:r>
            <a:rPr lang="en-US" cap="none" sz="900" b="0" i="0" u="none" baseline="0">
              <a:solidFill>
                <a:srgbClr val="000000"/>
              </a:solidFill>
              <a:latin typeface="Arial"/>
              <a:ea typeface="Arial"/>
              <a:cs typeface="Arial"/>
            </a:rPr>
            <a:t> à laquelle il faut soustraire :</a:t>
          </a:r>
        </a:p>
      </xdr:txBody>
    </xdr:sp>
    <xdr:clientData/>
  </xdr:twoCellAnchor>
  <xdr:twoCellAnchor>
    <xdr:from>
      <xdr:col>2</xdr:col>
      <xdr:colOff>361950</xdr:colOff>
      <xdr:row>21</xdr:row>
      <xdr:rowOff>85725</xdr:rowOff>
    </xdr:from>
    <xdr:to>
      <xdr:col>4</xdr:col>
      <xdr:colOff>200025</xdr:colOff>
      <xdr:row>22</xdr:row>
      <xdr:rowOff>133350</xdr:rowOff>
    </xdr:to>
    <xdr:sp>
      <xdr:nvSpPr>
        <xdr:cNvPr id="2" name="Rectangle 2"/>
        <xdr:cNvSpPr>
          <a:spLocks/>
        </xdr:cNvSpPr>
      </xdr:nvSpPr>
      <xdr:spPr>
        <a:xfrm>
          <a:off x="742950" y="3552825"/>
          <a:ext cx="1362075" cy="20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Désuétude physique</a:t>
          </a:r>
        </a:p>
      </xdr:txBody>
    </xdr:sp>
    <xdr:clientData/>
  </xdr:twoCellAnchor>
  <xdr:twoCellAnchor>
    <xdr:from>
      <xdr:col>4</xdr:col>
      <xdr:colOff>285750</xdr:colOff>
      <xdr:row>21</xdr:row>
      <xdr:rowOff>95250</xdr:rowOff>
    </xdr:from>
    <xdr:to>
      <xdr:col>6</xdr:col>
      <xdr:colOff>304800</xdr:colOff>
      <xdr:row>22</xdr:row>
      <xdr:rowOff>142875</xdr:rowOff>
    </xdr:to>
    <xdr:sp>
      <xdr:nvSpPr>
        <xdr:cNvPr id="3" name="Rectangle 3"/>
        <xdr:cNvSpPr>
          <a:spLocks/>
        </xdr:cNvSpPr>
      </xdr:nvSpPr>
      <xdr:spPr>
        <a:xfrm>
          <a:off x="2190750" y="3562350"/>
          <a:ext cx="1543050" cy="20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Désuétude fonctionnelle</a:t>
          </a:r>
        </a:p>
      </xdr:txBody>
    </xdr:sp>
    <xdr:clientData/>
  </xdr:twoCellAnchor>
  <xdr:oneCellAnchor>
    <xdr:from>
      <xdr:col>6</xdr:col>
      <xdr:colOff>371475</xdr:colOff>
      <xdr:row>21</xdr:row>
      <xdr:rowOff>95250</xdr:rowOff>
    </xdr:from>
    <xdr:ext cx="1400175" cy="209550"/>
    <xdr:sp>
      <xdr:nvSpPr>
        <xdr:cNvPr id="4" name="Text Box 4"/>
        <xdr:cNvSpPr txBox="1">
          <a:spLocks noChangeArrowheads="1"/>
        </xdr:cNvSpPr>
      </xdr:nvSpPr>
      <xdr:spPr>
        <a:xfrm>
          <a:off x="3800475" y="3562350"/>
          <a:ext cx="1400175" cy="20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Désuétude économique</a:t>
          </a:r>
        </a:p>
      </xdr:txBody>
    </xdr:sp>
    <xdr:clientData/>
  </xdr:oneCellAnchor>
  <xdr:oneCellAnchor>
    <xdr:from>
      <xdr:col>4</xdr:col>
      <xdr:colOff>161925</xdr:colOff>
      <xdr:row>24</xdr:row>
      <xdr:rowOff>142875</xdr:rowOff>
    </xdr:from>
    <xdr:ext cx="1638300" cy="190500"/>
    <xdr:sp>
      <xdr:nvSpPr>
        <xdr:cNvPr id="5" name="Text Box 5"/>
        <xdr:cNvSpPr txBox="1">
          <a:spLocks noChangeArrowheads="1"/>
        </xdr:cNvSpPr>
      </xdr:nvSpPr>
      <xdr:spPr>
        <a:xfrm>
          <a:off x="2066925" y="4095750"/>
          <a:ext cx="1638300" cy="190500"/>
        </a:xfrm>
        <a:prstGeom prst="rect">
          <a:avLst/>
        </a:prstGeom>
        <a:solidFill>
          <a:srgbClr val="FFFFFF"/>
        </a:solidFill>
        <a:ln w="9525" cmpd="sng">
          <a:solidFill>
            <a:srgbClr val="000000"/>
          </a:solidFill>
          <a:headEnd type="none"/>
          <a:tailEnd type="none"/>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Juste valeur marchande (JVM)</a:t>
          </a:r>
        </a:p>
      </xdr:txBody>
    </xdr:sp>
    <xdr:clientData/>
  </xdr:oneCellAnchor>
  <xdr:twoCellAnchor>
    <xdr:from>
      <xdr:col>4</xdr:col>
      <xdr:colOff>19050</xdr:colOff>
      <xdr:row>20</xdr:row>
      <xdr:rowOff>104775</xdr:rowOff>
    </xdr:from>
    <xdr:to>
      <xdr:col>4</xdr:col>
      <xdr:colOff>523875</xdr:colOff>
      <xdr:row>21</xdr:row>
      <xdr:rowOff>85725</xdr:rowOff>
    </xdr:to>
    <xdr:sp>
      <xdr:nvSpPr>
        <xdr:cNvPr id="6" name="Line 6"/>
        <xdr:cNvSpPr>
          <a:spLocks/>
        </xdr:cNvSpPr>
      </xdr:nvSpPr>
      <xdr:spPr>
        <a:xfrm flipH="1">
          <a:off x="1924050" y="3409950"/>
          <a:ext cx="504825" cy="1428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20</xdr:row>
      <xdr:rowOff>104775</xdr:rowOff>
    </xdr:from>
    <xdr:to>
      <xdr:col>5</xdr:col>
      <xdr:colOff>276225</xdr:colOff>
      <xdr:row>21</xdr:row>
      <xdr:rowOff>104775</xdr:rowOff>
    </xdr:to>
    <xdr:sp>
      <xdr:nvSpPr>
        <xdr:cNvPr id="7" name="Line 7"/>
        <xdr:cNvSpPr>
          <a:spLocks/>
        </xdr:cNvSpPr>
      </xdr:nvSpPr>
      <xdr:spPr>
        <a:xfrm>
          <a:off x="2943225" y="3409950"/>
          <a:ext cx="0" cy="1619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20</xdr:row>
      <xdr:rowOff>95250</xdr:rowOff>
    </xdr:from>
    <xdr:to>
      <xdr:col>6</xdr:col>
      <xdr:colOff>676275</xdr:colOff>
      <xdr:row>21</xdr:row>
      <xdr:rowOff>104775</xdr:rowOff>
    </xdr:to>
    <xdr:sp>
      <xdr:nvSpPr>
        <xdr:cNvPr id="8" name="Line 8"/>
        <xdr:cNvSpPr>
          <a:spLocks/>
        </xdr:cNvSpPr>
      </xdr:nvSpPr>
      <xdr:spPr>
        <a:xfrm>
          <a:off x="3467100" y="3400425"/>
          <a:ext cx="638175" cy="1714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22</xdr:row>
      <xdr:rowOff>142875</xdr:rowOff>
    </xdr:from>
    <xdr:to>
      <xdr:col>6</xdr:col>
      <xdr:colOff>666750</xdr:colOff>
      <xdr:row>24</xdr:row>
      <xdr:rowOff>142875</xdr:rowOff>
    </xdr:to>
    <xdr:sp>
      <xdr:nvSpPr>
        <xdr:cNvPr id="9" name="Line 11"/>
        <xdr:cNvSpPr>
          <a:spLocks/>
        </xdr:cNvSpPr>
      </xdr:nvSpPr>
      <xdr:spPr>
        <a:xfrm flipH="1">
          <a:off x="3657600" y="3771900"/>
          <a:ext cx="438150" cy="3238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22</xdr:row>
      <xdr:rowOff>133350</xdr:rowOff>
    </xdr:from>
    <xdr:to>
      <xdr:col>4</xdr:col>
      <xdr:colOff>257175</xdr:colOff>
      <xdr:row>24</xdr:row>
      <xdr:rowOff>142875</xdr:rowOff>
    </xdr:to>
    <xdr:sp>
      <xdr:nvSpPr>
        <xdr:cNvPr id="10" name="Line 12"/>
        <xdr:cNvSpPr>
          <a:spLocks/>
        </xdr:cNvSpPr>
      </xdr:nvSpPr>
      <xdr:spPr>
        <a:xfrm>
          <a:off x="1809750" y="3762375"/>
          <a:ext cx="352425" cy="3333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23</xdr:row>
      <xdr:rowOff>0</xdr:rowOff>
    </xdr:from>
    <xdr:to>
      <xdr:col>5</xdr:col>
      <xdr:colOff>276225</xdr:colOff>
      <xdr:row>24</xdr:row>
      <xdr:rowOff>142875</xdr:rowOff>
    </xdr:to>
    <xdr:sp>
      <xdr:nvSpPr>
        <xdr:cNvPr id="11" name="Line 13"/>
        <xdr:cNvSpPr>
          <a:spLocks/>
        </xdr:cNvSpPr>
      </xdr:nvSpPr>
      <xdr:spPr>
        <a:xfrm>
          <a:off x="2943225" y="3790950"/>
          <a:ext cx="0" cy="304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6</xdr:row>
      <xdr:rowOff>47625</xdr:rowOff>
    </xdr:from>
    <xdr:to>
      <xdr:col>14</xdr:col>
      <xdr:colOff>819150</xdr:colOff>
      <xdr:row>10</xdr:row>
      <xdr:rowOff>104775</xdr:rowOff>
    </xdr:to>
    <xdr:sp>
      <xdr:nvSpPr>
        <xdr:cNvPr id="1" name="Text Box 112"/>
        <xdr:cNvSpPr txBox="1">
          <a:spLocks noChangeArrowheads="1"/>
        </xdr:cNvSpPr>
      </xdr:nvSpPr>
      <xdr:spPr>
        <a:xfrm>
          <a:off x="3028950" y="1228725"/>
          <a:ext cx="5486400" cy="7048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Avertissement:
</a:t>
          </a:r>
          <a:r>
            <a:rPr lang="en-US" cap="none" sz="1000" b="1" i="0" u="none" baseline="0">
              <a:solidFill>
                <a:srgbClr val="000000"/>
              </a:solidFill>
              <a:latin typeface="Arial"/>
              <a:ea typeface="Arial"/>
              <a:cs typeface="Arial"/>
            </a:rPr>
            <a:t>Cet outil permet de faire une évaluation sommaire de la JVM, pour des fins de gestion, et n'est pas une évaluation officielle. Une décision basée sur les résultats obtenus à partir de ce module de calcul est la seule responsabilité de l'utilisateur. </a:t>
          </a:r>
        </a:p>
      </xdr:txBody>
    </xdr:sp>
    <xdr:clientData/>
  </xdr:twoCellAnchor>
  <xdr:twoCellAnchor>
    <xdr:from>
      <xdr:col>3</xdr:col>
      <xdr:colOff>571500</xdr:colOff>
      <xdr:row>4</xdr:row>
      <xdr:rowOff>9525</xdr:rowOff>
    </xdr:from>
    <xdr:to>
      <xdr:col>16</xdr:col>
      <xdr:colOff>428625</xdr:colOff>
      <xdr:row>13</xdr:row>
      <xdr:rowOff>95250</xdr:rowOff>
    </xdr:to>
    <xdr:grpSp>
      <xdr:nvGrpSpPr>
        <xdr:cNvPr id="2" name="Group 114"/>
        <xdr:cNvGrpSpPr>
          <a:grpSpLocks/>
        </xdr:cNvGrpSpPr>
      </xdr:nvGrpSpPr>
      <xdr:grpSpPr>
        <a:xfrm>
          <a:off x="2800350" y="866775"/>
          <a:ext cx="6191250" cy="1562100"/>
          <a:chOff x="294" y="91"/>
          <a:chExt cx="650" cy="162"/>
        </a:xfrm>
        <a:solidFill>
          <a:srgbClr val="FFFFFF"/>
        </a:solidFill>
      </xdr:grpSpPr>
      <xdr:sp>
        <xdr:nvSpPr>
          <xdr:cNvPr id="3" name="Rectangle 113"/>
          <xdr:cNvSpPr>
            <a:spLocks/>
          </xdr:cNvSpPr>
        </xdr:nvSpPr>
        <xdr:spPr>
          <a:xfrm>
            <a:off x="294" y="91"/>
            <a:ext cx="650" cy="14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4" name="Group 1"/>
          <xdr:cNvGrpSpPr>
            <a:grpSpLocks/>
          </xdr:cNvGrpSpPr>
        </xdr:nvGrpSpPr>
        <xdr:grpSpPr>
          <a:xfrm>
            <a:off x="397" y="96"/>
            <a:ext cx="187" cy="157"/>
            <a:chOff x="441" y="96"/>
            <a:chExt cx="209" cy="157"/>
          </a:xfrm>
          <a:solidFill>
            <a:srgbClr val="FFFFFF"/>
          </a:solidFill>
        </xdr:grpSpPr>
        <xdr:sp>
          <xdr:nvSpPr>
            <xdr:cNvPr id="5" name="Oval 2"/>
            <xdr:cNvSpPr>
              <a:spLocks/>
            </xdr:cNvSpPr>
          </xdr:nvSpPr>
          <xdr:spPr>
            <a:xfrm>
              <a:off x="450" y="96"/>
              <a:ext cx="193" cy="157"/>
            </a:xfrm>
            <a:prstGeom prst="ellipse">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3"/>
            <xdr:cNvSpPr txBox="1">
              <a:spLocks noChangeArrowheads="1"/>
            </xdr:cNvSpPr>
          </xdr:nvSpPr>
          <xdr:spPr>
            <a:xfrm>
              <a:off x="441" y="139"/>
              <a:ext cx="209" cy="77"/>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Arial"/>
                  <a:ea typeface="Arial"/>
                  <a:cs typeface="Arial"/>
                </a:rPr>
                <a:t>Remplir les cases quadrillées  bleues seulement</a:t>
              </a:r>
            </a:p>
          </xdr:txBody>
        </xdr:sp>
      </xdr:grpSp>
    </xdr:grpSp>
    <xdr:clientData fPrintsWithSheet="0"/>
  </xdr:twoCellAnchor>
  <xdr:twoCellAnchor>
    <xdr:from>
      <xdr:col>10</xdr:col>
      <xdr:colOff>171450</xdr:colOff>
      <xdr:row>91</xdr:row>
      <xdr:rowOff>47625</xdr:rowOff>
    </xdr:from>
    <xdr:to>
      <xdr:col>18</xdr:col>
      <xdr:colOff>819150</xdr:colOff>
      <xdr:row>96</xdr:row>
      <xdr:rowOff>76200</xdr:rowOff>
    </xdr:to>
    <xdr:grpSp>
      <xdr:nvGrpSpPr>
        <xdr:cNvPr id="7" name="Group 14"/>
        <xdr:cNvGrpSpPr>
          <a:grpSpLocks/>
        </xdr:cNvGrpSpPr>
      </xdr:nvGrpSpPr>
      <xdr:grpSpPr>
        <a:xfrm>
          <a:off x="6057900" y="18649950"/>
          <a:ext cx="4857750" cy="923925"/>
          <a:chOff x="692" y="1907"/>
          <a:chExt cx="623" cy="97"/>
        </a:xfrm>
        <a:solidFill>
          <a:srgbClr val="FFFFFF"/>
        </a:solidFill>
      </xdr:grpSpPr>
      <xdr:pic>
        <xdr:nvPicPr>
          <xdr:cNvPr id="8" name="Picture 15" descr="ACC_Coul_2005"/>
          <xdr:cNvPicPr preferRelativeResize="1">
            <a:picLocks noChangeAspect="1"/>
          </xdr:cNvPicPr>
        </xdr:nvPicPr>
        <xdr:blipFill>
          <a:blip r:embed="rId1"/>
          <a:stretch>
            <a:fillRect/>
          </a:stretch>
        </xdr:blipFill>
        <xdr:spPr>
          <a:xfrm>
            <a:off x="694" y="1944"/>
            <a:ext cx="167" cy="40"/>
          </a:xfrm>
          <a:prstGeom prst="rect">
            <a:avLst/>
          </a:prstGeom>
          <a:noFill/>
          <a:ln w="9525" cmpd="sng">
            <a:noFill/>
          </a:ln>
        </xdr:spPr>
      </xdr:pic>
      <xdr:pic>
        <xdr:nvPicPr>
          <xdr:cNvPr id="9" name="Picture 16" descr="Mapaq"/>
          <xdr:cNvPicPr preferRelativeResize="1">
            <a:picLocks noChangeAspect="1"/>
          </xdr:cNvPicPr>
        </xdr:nvPicPr>
        <xdr:blipFill>
          <a:blip r:embed="rId2"/>
          <a:stretch>
            <a:fillRect/>
          </a:stretch>
        </xdr:blipFill>
        <xdr:spPr>
          <a:xfrm>
            <a:off x="1156" y="1944"/>
            <a:ext cx="158" cy="60"/>
          </a:xfrm>
          <a:prstGeom prst="rect">
            <a:avLst/>
          </a:prstGeom>
          <a:noFill/>
          <a:ln w="9525" cmpd="sng">
            <a:noFill/>
          </a:ln>
        </xdr:spPr>
      </xdr:pic>
      <xdr:sp>
        <xdr:nvSpPr>
          <xdr:cNvPr id="10" name="Text Box 17"/>
          <xdr:cNvSpPr txBox="1">
            <a:spLocks noChangeArrowheads="1"/>
          </xdr:cNvSpPr>
        </xdr:nvSpPr>
        <xdr:spPr>
          <a:xfrm>
            <a:off x="692" y="1907"/>
            <a:ext cx="623" cy="3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Ce projet a été réalisé dans le cadre du programme « Initiative d’appui aux conseillers agricoles (IACA) » selon les termes de l’Entente Canada-Québec sur le Renouveau du Cadre stratégique agricole.</a:t>
            </a:r>
          </a:p>
        </xdr:txBody>
      </xdr:sp>
    </xdr:grpSp>
    <xdr:clientData/>
  </xdr:twoCellAnchor>
  <xdr:twoCellAnchor editAs="oneCell">
    <xdr:from>
      <xdr:col>2</xdr:col>
      <xdr:colOff>1238250</xdr:colOff>
      <xdr:row>4</xdr:row>
      <xdr:rowOff>38100</xdr:rowOff>
    </xdr:from>
    <xdr:to>
      <xdr:col>3</xdr:col>
      <xdr:colOff>428625</xdr:colOff>
      <xdr:row>21</xdr:row>
      <xdr:rowOff>19050</xdr:rowOff>
    </xdr:to>
    <xdr:pic>
      <xdr:nvPicPr>
        <xdr:cNvPr id="11" name="Picture 18" descr="logo_Iaca313"/>
        <xdr:cNvPicPr preferRelativeResize="1">
          <a:picLocks noChangeAspect="1"/>
        </xdr:cNvPicPr>
      </xdr:nvPicPr>
      <xdr:blipFill>
        <a:blip r:embed="rId3"/>
        <a:stretch>
          <a:fillRect/>
        </a:stretch>
      </xdr:blipFill>
      <xdr:spPr>
        <a:xfrm>
          <a:off x="1238250" y="895350"/>
          <a:ext cx="1419225" cy="1619250"/>
        </a:xfrm>
        <a:prstGeom prst="rect">
          <a:avLst/>
        </a:prstGeom>
        <a:noFill/>
        <a:ln w="9525" cmpd="sng">
          <a:noFill/>
        </a:ln>
      </xdr:spPr>
    </xdr:pic>
    <xdr:clientData/>
  </xdr:twoCellAnchor>
  <xdr:twoCellAnchor>
    <xdr:from>
      <xdr:col>11</xdr:col>
      <xdr:colOff>114300</xdr:colOff>
      <xdr:row>0</xdr:row>
      <xdr:rowOff>85725</xdr:rowOff>
    </xdr:from>
    <xdr:to>
      <xdr:col>14</xdr:col>
      <xdr:colOff>771525</xdr:colOff>
      <xdr:row>1</xdr:row>
      <xdr:rowOff>123825</xdr:rowOff>
    </xdr:to>
    <xdr:sp>
      <xdr:nvSpPr>
        <xdr:cNvPr id="12" name="Text Box 161">
          <a:hlinkClick r:id="rId4"/>
        </xdr:cNvPr>
        <xdr:cNvSpPr txBox="1">
          <a:spLocks noChangeArrowheads="1"/>
        </xdr:cNvSpPr>
      </xdr:nvSpPr>
      <xdr:spPr>
        <a:xfrm>
          <a:off x="6858000" y="85725"/>
          <a:ext cx="1609725" cy="295275"/>
        </a:xfrm>
        <a:prstGeom prst="rect">
          <a:avLst/>
        </a:prstGeom>
        <a:solidFill>
          <a:srgbClr val="FFFFFF"/>
        </a:solidFill>
        <a:ln w="9525" cmpd="sng">
          <a:noFill/>
        </a:ln>
      </xdr:spPr>
      <xdr:txBody>
        <a:bodyPr vertOverflow="clip" wrap="square" lIns="27432" tIns="22860" rIns="0" bIns="0"/>
        <a:p>
          <a:pPr algn="l">
            <a:defRPr/>
          </a:pPr>
          <a:r>
            <a:rPr lang="en-US" cap="none" sz="1000" b="0" i="0" u="sng" baseline="0">
              <a:solidFill>
                <a:srgbClr val="3366FF"/>
              </a:solidFill>
              <a:latin typeface="Arial"/>
              <a:ea typeface="Arial"/>
              <a:cs typeface="Arial"/>
            </a:rPr>
            <a:t>AIDE SUR LES BOUTONS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152400</xdr:rowOff>
    </xdr:from>
    <xdr:to>
      <xdr:col>9</xdr:col>
      <xdr:colOff>133350</xdr:colOff>
      <xdr:row>11</xdr:row>
      <xdr:rowOff>123825</xdr:rowOff>
    </xdr:to>
    <xdr:sp>
      <xdr:nvSpPr>
        <xdr:cNvPr id="1" name="Text Box 368"/>
        <xdr:cNvSpPr txBox="1">
          <a:spLocks noChangeArrowheads="1"/>
        </xdr:cNvSpPr>
      </xdr:nvSpPr>
      <xdr:spPr>
        <a:xfrm>
          <a:off x="4210050" y="1009650"/>
          <a:ext cx="3667125" cy="1104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Avertissement:
</a:t>
          </a:r>
          <a:r>
            <a:rPr lang="en-US" cap="none" sz="1000" b="1" i="0" u="none" baseline="0">
              <a:solidFill>
                <a:srgbClr val="000000"/>
              </a:solidFill>
              <a:latin typeface="Arial"/>
              <a:ea typeface="Arial"/>
              <a:cs typeface="Arial"/>
            </a:rPr>
            <a:t>Cet outil permet de faire une évaluation sommaire de la JVM, pour des fins de gestion, et n'est pas une évaluation officielle. Une décision basée sur les résultats obtenus à partir de ce module de calcul est la seule responsabilité de l'utilisateur. </a:t>
          </a:r>
        </a:p>
      </xdr:txBody>
    </xdr:sp>
    <xdr:clientData/>
  </xdr:twoCellAnchor>
  <xdr:twoCellAnchor>
    <xdr:from>
      <xdr:col>3</xdr:col>
      <xdr:colOff>1676400</xdr:colOff>
      <xdr:row>4</xdr:row>
      <xdr:rowOff>57150</xdr:rowOff>
    </xdr:from>
    <xdr:to>
      <xdr:col>9</xdr:col>
      <xdr:colOff>9525</xdr:colOff>
      <xdr:row>13</xdr:row>
      <xdr:rowOff>95250</xdr:rowOff>
    </xdr:to>
    <xdr:grpSp>
      <xdr:nvGrpSpPr>
        <xdr:cNvPr id="2" name="Group 371"/>
        <xdr:cNvGrpSpPr>
          <a:grpSpLocks/>
        </xdr:cNvGrpSpPr>
      </xdr:nvGrpSpPr>
      <xdr:grpSpPr>
        <a:xfrm>
          <a:off x="3800475" y="914400"/>
          <a:ext cx="3952875" cy="1495425"/>
          <a:chOff x="399" y="96"/>
          <a:chExt cx="415" cy="157"/>
        </a:xfrm>
        <a:solidFill>
          <a:srgbClr val="FFFFFF"/>
        </a:solidFill>
      </xdr:grpSpPr>
      <xdr:sp>
        <xdr:nvSpPr>
          <xdr:cNvPr id="3" name="Rectangle 369"/>
          <xdr:cNvSpPr>
            <a:spLocks/>
          </xdr:cNvSpPr>
        </xdr:nvSpPr>
        <xdr:spPr>
          <a:xfrm>
            <a:off x="399" y="101"/>
            <a:ext cx="415" cy="129"/>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4" name="Group 227"/>
          <xdr:cNvGrpSpPr>
            <a:grpSpLocks/>
          </xdr:cNvGrpSpPr>
        </xdr:nvGrpSpPr>
        <xdr:grpSpPr>
          <a:xfrm>
            <a:off x="441" y="96"/>
            <a:ext cx="209" cy="157"/>
            <a:chOff x="441" y="96"/>
            <a:chExt cx="209" cy="157"/>
          </a:xfrm>
          <a:solidFill>
            <a:srgbClr val="FFFFFF"/>
          </a:solidFill>
        </xdr:grpSpPr>
        <xdr:sp>
          <xdr:nvSpPr>
            <xdr:cNvPr id="5" name="Oval 122"/>
            <xdr:cNvSpPr>
              <a:spLocks/>
            </xdr:cNvSpPr>
          </xdr:nvSpPr>
          <xdr:spPr>
            <a:xfrm>
              <a:off x="450" y="96"/>
              <a:ext cx="193" cy="157"/>
            </a:xfrm>
            <a:prstGeom prst="ellipse">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123"/>
            <xdr:cNvSpPr txBox="1">
              <a:spLocks noChangeArrowheads="1"/>
            </xdr:cNvSpPr>
          </xdr:nvSpPr>
          <xdr:spPr>
            <a:xfrm>
              <a:off x="441" y="139"/>
              <a:ext cx="209" cy="77"/>
            </a:xfrm>
            <a:prstGeom prst="rect">
              <a:avLst/>
            </a:prstGeom>
            <a:no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Remplir les cases quadrillées  bleues seulement</a:t>
              </a:r>
            </a:p>
          </xdr:txBody>
        </xdr:sp>
      </xdr:grpSp>
    </xdr:grpSp>
    <xdr:clientData fPrintsWithSheet="0"/>
  </xdr:twoCellAnchor>
  <xdr:twoCellAnchor>
    <xdr:from>
      <xdr:col>11</xdr:col>
      <xdr:colOff>180975</xdr:colOff>
      <xdr:row>93</xdr:row>
      <xdr:rowOff>47625</xdr:rowOff>
    </xdr:from>
    <xdr:to>
      <xdr:col>18</xdr:col>
      <xdr:colOff>57150</xdr:colOff>
      <xdr:row>98</xdr:row>
      <xdr:rowOff>76200</xdr:rowOff>
    </xdr:to>
    <xdr:grpSp>
      <xdr:nvGrpSpPr>
        <xdr:cNvPr id="7" name="Group 213"/>
        <xdr:cNvGrpSpPr>
          <a:grpSpLocks/>
        </xdr:cNvGrpSpPr>
      </xdr:nvGrpSpPr>
      <xdr:grpSpPr>
        <a:xfrm>
          <a:off x="9286875" y="18097500"/>
          <a:ext cx="5543550" cy="923925"/>
          <a:chOff x="692" y="1907"/>
          <a:chExt cx="623" cy="97"/>
        </a:xfrm>
        <a:solidFill>
          <a:srgbClr val="FFFFFF"/>
        </a:solidFill>
      </xdr:grpSpPr>
      <xdr:pic>
        <xdr:nvPicPr>
          <xdr:cNvPr id="8" name="Picture 210" descr="ACC_Coul_2005"/>
          <xdr:cNvPicPr preferRelativeResize="1">
            <a:picLocks noChangeAspect="1"/>
          </xdr:cNvPicPr>
        </xdr:nvPicPr>
        <xdr:blipFill>
          <a:blip r:embed="rId1"/>
          <a:stretch>
            <a:fillRect/>
          </a:stretch>
        </xdr:blipFill>
        <xdr:spPr>
          <a:xfrm>
            <a:off x="694" y="1944"/>
            <a:ext cx="167" cy="40"/>
          </a:xfrm>
          <a:prstGeom prst="rect">
            <a:avLst/>
          </a:prstGeom>
          <a:noFill/>
          <a:ln w="9525" cmpd="sng">
            <a:noFill/>
          </a:ln>
        </xdr:spPr>
      </xdr:pic>
      <xdr:pic>
        <xdr:nvPicPr>
          <xdr:cNvPr id="9" name="Picture 211" descr="Mapaq"/>
          <xdr:cNvPicPr preferRelativeResize="1">
            <a:picLocks noChangeAspect="1"/>
          </xdr:cNvPicPr>
        </xdr:nvPicPr>
        <xdr:blipFill>
          <a:blip r:embed="rId2"/>
          <a:stretch>
            <a:fillRect/>
          </a:stretch>
        </xdr:blipFill>
        <xdr:spPr>
          <a:xfrm>
            <a:off x="1156" y="1944"/>
            <a:ext cx="158" cy="60"/>
          </a:xfrm>
          <a:prstGeom prst="rect">
            <a:avLst/>
          </a:prstGeom>
          <a:noFill/>
          <a:ln w="9525" cmpd="sng">
            <a:noFill/>
          </a:ln>
        </xdr:spPr>
      </xdr:pic>
      <xdr:sp>
        <xdr:nvSpPr>
          <xdr:cNvPr id="10" name="Text Box 212"/>
          <xdr:cNvSpPr txBox="1">
            <a:spLocks noChangeArrowheads="1"/>
          </xdr:cNvSpPr>
        </xdr:nvSpPr>
        <xdr:spPr>
          <a:xfrm>
            <a:off x="692" y="1907"/>
            <a:ext cx="623" cy="3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Ce projet a été réalisé dans le cadre du programme « Initiative d’appui aux conseillers agricoles (IACA) » selon les termes de l’Entente Canada-Québec sur le Renouveau du Cadre stratégique agricole.</a:t>
            </a:r>
          </a:p>
        </xdr:txBody>
      </xdr:sp>
    </xdr:grpSp>
    <xdr:clientData/>
  </xdr:twoCellAnchor>
  <xdr:twoCellAnchor editAs="oneCell">
    <xdr:from>
      <xdr:col>2</xdr:col>
      <xdr:colOff>1238250</xdr:colOff>
      <xdr:row>4</xdr:row>
      <xdr:rowOff>38100</xdr:rowOff>
    </xdr:from>
    <xdr:to>
      <xdr:col>3</xdr:col>
      <xdr:colOff>533400</xdr:colOff>
      <xdr:row>21</xdr:row>
      <xdr:rowOff>38100</xdr:rowOff>
    </xdr:to>
    <xdr:pic>
      <xdr:nvPicPr>
        <xdr:cNvPr id="11" name="Picture 225" descr="logo_Iaca313"/>
        <xdr:cNvPicPr preferRelativeResize="1">
          <a:picLocks noChangeAspect="1"/>
        </xdr:cNvPicPr>
      </xdr:nvPicPr>
      <xdr:blipFill>
        <a:blip r:embed="rId3"/>
        <a:stretch>
          <a:fillRect/>
        </a:stretch>
      </xdr:blipFill>
      <xdr:spPr>
        <a:xfrm>
          <a:off x="1238250" y="895350"/>
          <a:ext cx="1419225" cy="1619250"/>
        </a:xfrm>
        <a:prstGeom prst="rect">
          <a:avLst/>
        </a:prstGeom>
        <a:noFill/>
        <a:ln w="9525" cmpd="sng">
          <a:noFill/>
        </a:ln>
      </xdr:spPr>
    </xdr:pic>
    <xdr:clientData/>
  </xdr:twoCellAnchor>
  <xdr:oneCellAnchor>
    <xdr:from>
      <xdr:col>3</xdr:col>
      <xdr:colOff>1457325</xdr:colOff>
      <xdr:row>6</xdr:row>
      <xdr:rowOff>142875</xdr:rowOff>
    </xdr:from>
    <xdr:ext cx="76200" cy="200025"/>
    <xdr:sp fLocksText="0">
      <xdr:nvSpPr>
        <xdr:cNvPr id="12" name="Text Box 367"/>
        <xdr:cNvSpPr txBox="1">
          <a:spLocks noChangeArrowheads="1"/>
        </xdr:cNvSpPr>
      </xdr:nvSpPr>
      <xdr:spPr>
        <a:xfrm>
          <a:off x="3581400" y="1323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342900</xdr:colOff>
      <xdr:row>0</xdr:row>
      <xdr:rowOff>85725</xdr:rowOff>
    </xdr:from>
    <xdr:to>
      <xdr:col>11</xdr:col>
      <xdr:colOff>590550</xdr:colOff>
      <xdr:row>1</xdr:row>
      <xdr:rowOff>123825</xdr:rowOff>
    </xdr:to>
    <xdr:sp>
      <xdr:nvSpPr>
        <xdr:cNvPr id="13" name="Text Box 381">
          <a:hlinkClick r:id="rId4"/>
        </xdr:cNvPr>
        <xdr:cNvSpPr txBox="1">
          <a:spLocks noChangeArrowheads="1"/>
        </xdr:cNvSpPr>
      </xdr:nvSpPr>
      <xdr:spPr>
        <a:xfrm>
          <a:off x="8086725" y="85725"/>
          <a:ext cx="1609725" cy="295275"/>
        </a:xfrm>
        <a:prstGeom prst="rect">
          <a:avLst/>
        </a:prstGeom>
        <a:solidFill>
          <a:srgbClr val="FFFFFF"/>
        </a:solidFill>
        <a:ln w="9525" cmpd="sng">
          <a:noFill/>
        </a:ln>
      </xdr:spPr>
      <xdr:txBody>
        <a:bodyPr vertOverflow="clip" wrap="square" lIns="27432" tIns="22860" rIns="0" bIns="0"/>
        <a:p>
          <a:pPr algn="l">
            <a:defRPr/>
          </a:pPr>
          <a:r>
            <a:rPr lang="en-US" cap="none" sz="1000" b="0" i="0" u="sng" baseline="0">
              <a:solidFill>
                <a:srgbClr val="3366FF"/>
              </a:solidFill>
              <a:latin typeface="Arial"/>
              <a:ea typeface="Arial"/>
              <a:cs typeface="Arial"/>
            </a:rPr>
            <a:t>AIDE SUR LES BOUTONS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4"/>
  <dimension ref="A1:W118"/>
  <sheetViews>
    <sheetView tabSelected="1" zoomScalePageLayoutView="0" workbookViewId="0" topLeftCell="A1">
      <pane ySplit="1" topLeftCell="A2" activePane="bottomLeft" state="frozen"/>
      <selection pane="topLeft" activeCell="A1" sqref="A1"/>
      <selection pane="bottomLeft" activeCell="B4" sqref="B4:J5"/>
    </sheetView>
  </sheetViews>
  <sheetFormatPr defaultColWidth="11.421875" defaultRowHeight="12.75"/>
  <cols>
    <col min="1" max="1" width="1.7109375" style="0" customWidth="1"/>
    <col min="2" max="2" width="4.00390625" style="0" customWidth="1"/>
    <col min="8" max="8" width="9.421875" style="0" customWidth="1"/>
    <col min="9" max="9" width="10.28125" style="0" customWidth="1"/>
    <col min="10" max="10" width="12.28125" style="0" customWidth="1"/>
  </cols>
  <sheetData>
    <row r="1" spans="1:14" ht="15.75">
      <c r="A1" s="223" t="s">
        <v>106</v>
      </c>
      <c r="B1" s="223"/>
      <c r="C1" s="223"/>
      <c r="D1" s="223"/>
      <c r="E1" s="223"/>
      <c r="F1" s="223"/>
      <c r="G1" s="223"/>
      <c r="H1" s="223"/>
      <c r="I1" s="223"/>
      <c r="J1" s="223"/>
      <c r="K1" s="207" t="s">
        <v>156</v>
      </c>
      <c r="N1" s="207" t="s">
        <v>157</v>
      </c>
    </row>
    <row r="3" spans="1:9" ht="12.75">
      <c r="A3" s="193" t="s">
        <v>130</v>
      </c>
      <c r="B3" s="194"/>
      <c r="C3" s="194"/>
      <c r="D3" s="59"/>
      <c r="E3" s="59"/>
      <c r="F3" s="59"/>
      <c r="G3" s="59"/>
      <c r="H3" s="59"/>
      <c r="I3" s="59"/>
    </row>
    <row r="4" spans="1:10" ht="12.75" customHeight="1">
      <c r="A4" s="58"/>
      <c r="B4" s="220" t="s">
        <v>107</v>
      </c>
      <c r="C4" s="220"/>
      <c r="D4" s="220"/>
      <c r="E4" s="220"/>
      <c r="F4" s="220"/>
      <c r="G4" s="220"/>
      <c r="H4" s="220"/>
      <c r="I4" s="220"/>
      <c r="J4" s="220"/>
    </row>
    <row r="5" spans="1:10" ht="12.75" customHeight="1">
      <c r="A5" s="59"/>
      <c r="B5" s="220"/>
      <c r="C5" s="220"/>
      <c r="D5" s="220"/>
      <c r="E5" s="220"/>
      <c r="F5" s="220"/>
      <c r="G5" s="220"/>
      <c r="H5" s="220"/>
      <c r="I5" s="220"/>
      <c r="J5" s="220"/>
    </row>
    <row r="6" spans="1:9" ht="12.75">
      <c r="A6" s="59"/>
      <c r="B6" s="59"/>
      <c r="C6" s="59"/>
      <c r="D6" s="59"/>
      <c r="E6" s="59"/>
      <c r="F6" s="59"/>
      <c r="G6" s="59"/>
      <c r="H6" s="59"/>
      <c r="I6" s="59"/>
    </row>
    <row r="7" spans="1:10" ht="12.75" customHeight="1">
      <c r="A7" s="59"/>
      <c r="B7" s="228" t="s">
        <v>139</v>
      </c>
      <c r="C7" s="228"/>
      <c r="D7" s="228"/>
      <c r="E7" s="228"/>
      <c r="F7" s="228"/>
      <c r="G7" s="228"/>
      <c r="H7" s="228"/>
      <c r="I7" s="228"/>
      <c r="J7" s="228"/>
    </row>
    <row r="8" spans="1:10" ht="12.75" customHeight="1">
      <c r="A8" s="59"/>
      <c r="B8" s="228"/>
      <c r="C8" s="228"/>
      <c r="D8" s="228"/>
      <c r="E8" s="228"/>
      <c r="F8" s="228"/>
      <c r="G8" s="228"/>
      <c r="H8" s="228"/>
      <c r="I8" s="228"/>
      <c r="J8" s="228"/>
    </row>
    <row r="9" spans="1:10" ht="12.75">
      <c r="A9" s="59"/>
      <c r="B9" s="228"/>
      <c r="C9" s="228"/>
      <c r="D9" s="228"/>
      <c r="E9" s="228"/>
      <c r="F9" s="228"/>
      <c r="G9" s="228"/>
      <c r="H9" s="228"/>
      <c r="I9" s="228"/>
      <c r="J9" s="228"/>
    </row>
    <row r="10" spans="2:10" ht="12.75">
      <c r="B10" s="228"/>
      <c r="C10" s="228"/>
      <c r="D10" s="228"/>
      <c r="E10" s="228"/>
      <c r="F10" s="228"/>
      <c r="G10" s="228"/>
      <c r="H10" s="228"/>
      <c r="I10" s="228"/>
      <c r="J10" s="228"/>
    </row>
    <row r="11" spans="2:10" ht="12.75">
      <c r="B11" s="228"/>
      <c r="C11" s="228"/>
      <c r="D11" s="228"/>
      <c r="E11" s="228"/>
      <c r="F11" s="228"/>
      <c r="G11" s="228"/>
      <c r="H11" s="228"/>
      <c r="I11" s="228"/>
      <c r="J11" s="228"/>
    </row>
    <row r="12" spans="2:10" ht="15">
      <c r="B12" s="226" t="s">
        <v>117</v>
      </c>
      <c r="C12" s="226"/>
      <c r="D12" s="226"/>
      <c r="E12" s="226"/>
      <c r="F12" s="226"/>
      <c r="G12" s="62"/>
      <c r="H12" s="62"/>
      <c r="I12" s="62"/>
      <c r="J12" s="62"/>
    </row>
    <row r="14" spans="1:3" ht="12.75">
      <c r="A14" s="193" t="s">
        <v>86</v>
      </c>
      <c r="B14" s="194"/>
      <c r="C14" s="194"/>
    </row>
    <row r="15" spans="2:10" ht="12.75">
      <c r="B15" s="220" t="s">
        <v>105</v>
      </c>
      <c r="C15" s="220"/>
      <c r="D15" s="220"/>
      <c r="E15" s="220"/>
      <c r="F15" s="220"/>
      <c r="G15" s="220"/>
      <c r="H15" s="220"/>
      <c r="I15" s="220"/>
      <c r="J15" s="220"/>
    </row>
    <row r="16" spans="2:10" ht="12.75">
      <c r="B16" s="220"/>
      <c r="C16" s="220"/>
      <c r="D16" s="220"/>
      <c r="E16" s="220"/>
      <c r="F16" s="220"/>
      <c r="G16" s="220"/>
      <c r="H16" s="220"/>
      <c r="I16" s="220"/>
      <c r="J16" s="220"/>
    </row>
    <row r="18" spans="1:4" ht="12.75">
      <c r="A18" s="193" t="s">
        <v>103</v>
      </c>
      <c r="B18" s="194"/>
      <c r="C18" s="194"/>
      <c r="D18" s="194"/>
    </row>
    <row r="27" ht="12.75">
      <c r="I27" s="13"/>
    </row>
    <row r="28" ht="12.75">
      <c r="I28" s="13"/>
    </row>
    <row r="29" spans="1:9" ht="12.75">
      <c r="A29" s="193" t="s">
        <v>18</v>
      </c>
      <c r="B29" s="194"/>
      <c r="C29" s="194"/>
      <c r="I29" s="13"/>
    </row>
    <row r="30" spans="2:10" ht="12.75">
      <c r="B30" s="220" t="s">
        <v>102</v>
      </c>
      <c r="C30" s="220"/>
      <c r="D30" s="220"/>
      <c r="E30" s="220"/>
      <c r="F30" s="220"/>
      <c r="G30" s="220"/>
      <c r="H30" s="220"/>
      <c r="I30" s="220"/>
      <c r="J30" s="220"/>
    </row>
    <row r="31" spans="2:10" ht="12.75">
      <c r="B31" s="220"/>
      <c r="C31" s="220"/>
      <c r="D31" s="220"/>
      <c r="E31" s="220"/>
      <c r="F31" s="220"/>
      <c r="G31" s="220"/>
      <c r="H31" s="220"/>
      <c r="I31" s="220"/>
      <c r="J31" s="220"/>
    </row>
    <row r="32" ht="12.75">
      <c r="I32" s="13"/>
    </row>
    <row r="33" spans="1:9" ht="12.75">
      <c r="A33" s="193" t="s">
        <v>91</v>
      </c>
      <c r="B33" s="194"/>
      <c r="C33" s="194"/>
      <c r="I33" s="13"/>
    </row>
    <row r="34" spans="2:10" ht="12.75">
      <c r="B34" s="220" t="s">
        <v>140</v>
      </c>
      <c r="C34" s="220"/>
      <c r="D34" s="220"/>
      <c r="E34" s="220"/>
      <c r="F34" s="220"/>
      <c r="G34" s="220"/>
      <c r="H34" s="220"/>
      <c r="I34" s="220"/>
      <c r="J34" s="220"/>
    </row>
    <row r="35" spans="2:10" ht="12.75">
      <c r="B35" s="220"/>
      <c r="C35" s="220"/>
      <c r="D35" s="220"/>
      <c r="E35" s="220"/>
      <c r="F35" s="220"/>
      <c r="G35" s="220"/>
      <c r="H35" s="220"/>
      <c r="I35" s="220"/>
      <c r="J35" s="220"/>
    </row>
    <row r="36" spans="2:10" ht="12.75">
      <c r="B36" s="220" t="s">
        <v>146</v>
      </c>
      <c r="C36" s="220"/>
      <c r="D36" s="220"/>
      <c r="E36" s="220"/>
      <c r="F36" s="220"/>
      <c r="G36" s="220"/>
      <c r="H36" s="220"/>
      <c r="I36" s="220"/>
      <c r="J36" s="220"/>
    </row>
    <row r="37" spans="2:10" ht="12.75">
      <c r="B37" s="220"/>
      <c r="C37" s="220"/>
      <c r="D37" s="220"/>
      <c r="E37" s="220"/>
      <c r="F37" s="220"/>
      <c r="G37" s="220"/>
      <c r="H37" s="220"/>
      <c r="I37" s="220"/>
      <c r="J37" s="220"/>
    </row>
    <row r="38" ht="12.75">
      <c r="I38" s="13"/>
    </row>
    <row r="39" spans="1:9" ht="12.75">
      <c r="A39" s="193" t="s">
        <v>90</v>
      </c>
      <c r="B39" s="194"/>
      <c r="C39" s="194"/>
      <c r="D39" s="194"/>
      <c r="I39" s="13"/>
    </row>
    <row r="40" spans="2:10" ht="12.75">
      <c r="B40" s="220" t="s">
        <v>104</v>
      </c>
      <c r="C40" s="220"/>
      <c r="D40" s="220"/>
      <c r="E40" s="220"/>
      <c r="F40" s="220"/>
      <c r="G40" s="220"/>
      <c r="H40" s="220"/>
      <c r="I40" s="220"/>
      <c r="J40" s="220"/>
    </row>
    <row r="41" spans="2:10" ht="12.75">
      <c r="B41" s="220"/>
      <c r="C41" s="220"/>
      <c r="D41" s="220"/>
      <c r="E41" s="220"/>
      <c r="F41" s="220"/>
      <c r="G41" s="220"/>
      <c r="H41" s="220"/>
      <c r="I41" s="220"/>
      <c r="J41" s="220"/>
    </row>
    <row r="42" spans="2:10" ht="12.75">
      <c r="B42" s="220"/>
      <c r="C42" s="220"/>
      <c r="D42" s="220"/>
      <c r="E42" s="220"/>
      <c r="F42" s="220"/>
      <c r="G42" s="220"/>
      <c r="H42" s="220"/>
      <c r="I42" s="220"/>
      <c r="J42" s="220"/>
    </row>
    <row r="43" spans="3:10" ht="12.75">
      <c r="C43" s="51"/>
      <c r="D43" s="51"/>
      <c r="E43" s="51"/>
      <c r="F43" s="51"/>
      <c r="G43" s="51"/>
      <c r="H43" s="51"/>
      <c r="I43" s="51"/>
      <c r="J43" s="51"/>
    </row>
    <row r="44" spans="1:6" ht="12.75">
      <c r="A44" s="193" t="s">
        <v>78</v>
      </c>
      <c r="B44" s="194"/>
      <c r="C44" s="194"/>
      <c r="D44" s="194"/>
      <c r="E44" s="194"/>
      <c r="F44" s="194"/>
    </row>
    <row r="45" spans="2:10" ht="12.75">
      <c r="B45" s="220" t="s">
        <v>141</v>
      </c>
      <c r="C45" s="220"/>
      <c r="D45" s="220"/>
      <c r="E45" s="220"/>
      <c r="F45" s="220"/>
      <c r="G45" s="220"/>
      <c r="H45" s="220"/>
      <c r="I45" s="220"/>
      <c r="J45" s="220"/>
    </row>
    <row r="46" spans="2:10" ht="12.75">
      <c r="B46" s="220"/>
      <c r="C46" s="220"/>
      <c r="D46" s="220"/>
      <c r="E46" s="220"/>
      <c r="F46" s="220"/>
      <c r="G46" s="220"/>
      <c r="H46" s="220"/>
      <c r="I46" s="220"/>
      <c r="J46" s="220"/>
    </row>
    <row r="47" spans="2:10" ht="7.5" customHeight="1">
      <c r="B47" s="50"/>
      <c r="C47" s="50"/>
      <c r="D47" s="50"/>
      <c r="E47" s="50"/>
      <c r="F47" s="50"/>
      <c r="G47" s="50"/>
      <c r="H47" s="50"/>
      <c r="I47" s="50"/>
      <c r="J47" s="50"/>
    </row>
    <row r="48" spans="1:7" ht="12.75">
      <c r="A48" s="59"/>
      <c r="B48" s="59" t="s">
        <v>142</v>
      </c>
      <c r="C48" s="59"/>
      <c r="D48" s="59"/>
      <c r="E48" s="59"/>
      <c r="F48" s="59"/>
      <c r="G48" s="59"/>
    </row>
    <row r="49" ht="5.25" customHeight="1"/>
    <row r="50" spans="2:10" ht="12.75">
      <c r="B50" s="52" t="s">
        <v>84</v>
      </c>
      <c r="C50" s="224" t="s">
        <v>136</v>
      </c>
      <c r="D50" s="224"/>
      <c r="E50" s="224"/>
      <c r="F50" s="224"/>
      <c r="G50" s="224"/>
      <c r="H50" s="224"/>
      <c r="I50" s="224"/>
      <c r="J50" s="224"/>
    </row>
    <row r="51" spans="3:10" ht="12.75">
      <c r="C51" s="224"/>
      <c r="D51" s="224"/>
      <c r="E51" s="224"/>
      <c r="F51" s="224"/>
      <c r="G51" s="224"/>
      <c r="H51" s="224"/>
      <c r="I51" s="224"/>
      <c r="J51" s="224"/>
    </row>
    <row r="52" spans="3:10" ht="4.5" customHeight="1">
      <c r="C52" s="195"/>
      <c r="D52" s="195"/>
      <c r="E52" s="195"/>
      <c r="F52" s="195"/>
      <c r="G52" s="195"/>
      <c r="H52" s="195"/>
      <c r="I52" s="195"/>
      <c r="J52" s="195"/>
    </row>
    <row r="53" spans="3:10" ht="12.75">
      <c r="C53" s="225" t="s">
        <v>83</v>
      </c>
      <c r="D53" s="225"/>
      <c r="E53" s="225"/>
      <c r="F53" s="225"/>
      <c r="G53" s="225"/>
      <c r="H53" s="225"/>
      <c r="I53" s="225"/>
      <c r="J53" s="225"/>
    </row>
    <row r="54" spans="3:10" ht="12.75">
      <c r="C54" s="225"/>
      <c r="D54" s="225"/>
      <c r="E54" s="225"/>
      <c r="F54" s="225"/>
      <c r="G54" s="225"/>
      <c r="H54" s="225"/>
      <c r="I54" s="225"/>
      <c r="J54" s="225"/>
    </row>
    <row r="55" spans="3:10" ht="12.75">
      <c r="C55" s="225"/>
      <c r="D55" s="225"/>
      <c r="E55" s="225"/>
      <c r="F55" s="225"/>
      <c r="G55" s="225"/>
      <c r="H55" s="225"/>
      <c r="I55" s="225"/>
      <c r="J55" s="225"/>
    </row>
    <row r="56" spans="2:10" ht="12.75">
      <c r="B56" s="52" t="s">
        <v>85</v>
      </c>
      <c r="C56" s="224" t="s">
        <v>137</v>
      </c>
      <c r="D56" s="224"/>
      <c r="E56" s="224"/>
      <c r="F56" s="224"/>
      <c r="G56" s="224"/>
      <c r="H56" s="224"/>
      <c r="I56" s="224"/>
      <c r="J56" s="224"/>
    </row>
    <row r="57" spans="3:10" ht="12.75">
      <c r="C57" s="224"/>
      <c r="D57" s="224"/>
      <c r="E57" s="224"/>
      <c r="F57" s="224"/>
      <c r="G57" s="224"/>
      <c r="H57" s="224"/>
      <c r="I57" s="224"/>
      <c r="J57" s="224"/>
    </row>
    <row r="58" spans="3:10" ht="4.5" customHeight="1">
      <c r="C58" s="49"/>
      <c r="D58" s="49"/>
      <c r="E58" s="49"/>
      <c r="F58" s="49"/>
      <c r="G58" s="49"/>
      <c r="H58" s="49"/>
      <c r="I58" s="49"/>
      <c r="J58" s="49"/>
    </row>
    <row r="59" spans="3:10" ht="12.75">
      <c r="C59" s="225" t="s">
        <v>143</v>
      </c>
      <c r="D59" s="225"/>
      <c r="E59" s="225"/>
      <c r="F59" s="225"/>
      <c r="G59" s="225"/>
      <c r="H59" s="225"/>
      <c r="I59" s="225"/>
      <c r="J59" s="225"/>
    </row>
    <row r="60" spans="3:10" ht="12.75">
      <c r="C60" s="225"/>
      <c r="D60" s="225"/>
      <c r="E60" s="225"/>
      <c r="F60" s="225"/>
      <c r="G60" s="225"/>
      <c r="H60" s="225"/>
      <c r="I60" s="225"/>
      <c r="J60" s="225"/>
    </row>
    <row r="61" spans="3:10" ht="12.75">
      <c r="C61" s="51"/>
      <c r="D61" s="51"/>
      <c r="E61" s="51"/>
      <c r="F61" s="51"/>
      <c r="G61" s="51"/>
      <c r="H61" s="51"/>
      <c r="I61" s="51"/>
      <c r="J61" s="51"/>
    </row>
    <row r="62" spans="1:7" ht="12.75">
      <c r="A62" s="193" t="s">
        <v>114</v>
      </c>
      <c r="B62" s="194"/>
      <c r="C62" s="194"/>
      <c r="D62" s="194"/>
      <c r="E62" s="194"/>
      <c r="F62" s="194"/>
      <c r="G62" s="194"/>
    </row>
    <row r="63" spans="2:10" ht="12.75">
      <c r="B63" s="220" t="s">
        <v>116</v>
      </c>
      <c r="C63" s="220"/>
      <c r="D63" s="220"/>
      <c r="E63" s="220"/>
      <c r="F63" s="220"/>
      <c r="G63" s="220"/>
      <c r="H63" s="220"/>
      <c r="I63" s="220"/>
      <c r="J63" s="220"/>
    </row>
    <row r="64" spans="2:10" ht="7.5" customHeight="1">
      <c r="B64" s="200"/>
      <c r="C64" s="200"/>
      <c r="D64" s="200"/>
      <c r="E64" s="200"/>
      <c r="F64" s="200"/>
      <c r="G64" s="200"/>
      <c r="H64" s="200"/>
      <c r="I64" s="200"/>
      <c r="J64" s="200"/>
    </row>
    <row r="65" spans="2:10" ht="0.75" customHeight="1">
      <c r="B65" s="220" t="s">
        <v>144</v>
      </c>
      <c r="C65" s="220"/>
      <c r="D65" s="220"/>
      <c r="E65" s="220"/>
      <c r="F65" s="220"/>
      <c r="G65" s="220"/>
      <c r="H65" s="220"/>
      <c r="I65" s="220"/>
      <c r="J65" s="220"/>
    </row>
    <row r="66" spans="2:10" ht="12.75" customHeight="1">
      <c r="B66" s="220"/>
      <c r="C66" s="220"/>
      <c r="D66" s="220"/>
      <c r="E66" s="220"/>
      <c r="F66" s="220"/>
      <c r="G66" s="220"/>
      <c r="H66" s="220"/>
      <c r="I66" s="220"/>
      <c r="J66" s="220"/>
    </row>
    <row r="67" spans="2:10" ht="12.75">
      <c r="B67" s="220"/>
      <c r="C67" s="220"/>
      <c r="D67" s="220"/>
      <c r="E67" s="220"/>
      <c r="F67" s="220"/>
      <c r="G67" s="220"/>
      <c r="H67" s="220"/>
      <c r="I67" s="220"/>
      <c r="J67" s="220"/>
    </row>
    <row r="68" ht="7.5" customHeight="1"/>
    <row r="69" spans="2:10" ht="12.75" customHeight="1">
      <c r="B69" s="220" t="s">
        <v>115</v>
      </c>
      <c r="C69" s="220"/>
      <c r="D69" s="220"/>
      <c r="E69" s="220"/>
      <c r="F69" s="220"/>
      <c r="G69" s="220"/>
      <c r="H69" s="220"/>
      <c r="I69" s="220"/>
      <c r="J69" s="220"/>
    </row>
    <row r="70" spans="2:10" ht="12.75">
      <c r="B70" s="220"/>
      <c r="C70" s="220"/>
      <c r="D70" s="220"/>
      <c r="E70" s="220"/>
      <c r="F70" s="220"/>
      <c r="G70" s="220"/>
      <c r="H70" s="220"/>
      <c r="I70" s="220"/>
      <c r="J70" s="220"/>
    </row>
    <row r="71" spans="1:10" ht="12.75">
      <c r="A71" s="59"/>
      <c r="B71" s="196" t="s">
        <v>79</v>
      </c>
      <c r="C71" s="197" t="s">
        <v>72</v>
      </c>
      <c r="D71" s="197"/>
      <c r="E71" s="197"/>
      <c r="F71" s="197"/>
      <c r="G71" s="197"/>
      <c r="H71" s="197"/>
      <c r="I71" s="197"/>
      <c r="J71" s="197"/>
    </row>
    <row r="72" spans="1:10" ht="12.75">
      <c r="A72" s="59"/>
      <c r="B72" s="196" t="s">
        <v>79</v>
      </c>
      <c r="C72" s="197" t="s">
        <v>73</v>
      </c>
      <c r="D72" s="197"/>
      <c r="E72" s="197"/>
      <c r="F72" s="197"/>
      <c r="G72" s="197"/>
      <c r="H72" s="197"/>
      <c r="I72" s="197"/>
      <c r="J72" s="197"/>
    </row>
    <row r="73" spans="1:10" ht="12.75">
      <c r="A73" s="59"/>
      <c r="B73" s="196" t="s">
        <v>79</v>
      </c>
      <c r="C73" s="221" t="s">
        <v>76</v>
      </c>
      <c r="D73" s="221"/>
      <c r="E73" s="221"/>
      <c r="F73" s="221"/>
      <c r="G73" s="221"/>
      <c r="H73" s="221"/>
      <c r="I73" s="221"/>
      <c r="J73" s="221"/>
    </row>
    <row r="74" spans="1:10" ht="12.75">
      <c r="A74" s="59"/>
      <c r="B74" s="59"/>
      <c r="C74" s="221"/>
      <c r="D74" s="221"/>
      <c r="E74" s="221"/>
      <c r="F74" s="221"/>
      <c r="G74" s="221"/>
      <c r="H74" s="221"/>
      <c r="I74" s="221"/>
      <c r="J74" s="221"/>
    </row>
    <row r="75" spans="1:10" ht="12.75">
      <c r="A75" s="59"/>
      <c r="B75" s="196" t="s">
        <v>79</v>
      </c>
      <c r="C75" s="221" t="s">
        <v>77</v>
      </c>
      <c r="D75" s="221"/>
      <c r="E75" s="221"/>
      <c r="F75" s="221"/>
      <c r="G75" s="221"/>
      <c r="H75" s="221"/>
      <c r="I75" s="221"/>
      <c r="J75" s="221"/>
    </row>
    <row r="76" spans="1:10" ht="12.75">
      <c r="A76" s="59"/>
      <c r="B76" s="196"/>
      <c r="C76" s="221"/>
      <c r="D76" s="221"/>
      <c r="E76" s="221"/>
      <c r="F76" s="221"/>
      <c r="G76" s="221"/>
      <c r="H76" s="221"/>
      <c r="I76" s="221"/>
      <c r="J76" s="221"/>
    </row>
    <row r="77" spans="1:10" ht="12.75">
      <c r="A77" s="59"/>
      <c r="B77" s="196" t="s">
        <v>79</v>
      </c>
      <c r="C77" s="221" t="s">
        <v>74</v>
      </c>
      <c r="D77" s="221"/>
      <c r="E77" s="221"/>
      <c r="F77" s="221"/>
      <c r="G77" s="221"/>
      <c r="H77" s="221"/>
      <c r="I77" s="221"/>
      <c r="J77" s="221"/>
    </row>
    <row r="78" spans="1:10" ht="12.75">
      <c r="A78" s="59"/>
      <c r="B78" s="196"/>
      <c r="C78" s="221"/>
      <c r="D78" s="221"/>
      <c r="E78" s="221"/>
      <c r="F78" s="221"/>
      <c r="G78" s="221"/>
      <c r="H78" s="221"/>
      <c r="I78" s="221"/>
      <c r="J78" s="221"/>
    </row>
    <row r="79" spans="1:10" ht="12.75">
      <c r="A79" s="59"/>
      <c r="B79" s="196" t="s">
        <v>79</v>
      </c>
      <c r="C79" s="197" t="s">
        <v>75</v>
      </c>
      <c r="D79" s="197"/>
      <c r="E79" s="197"/>
      <c r="F79" s="197"/>
      <c r="G79" s="197"/>
      <c r="H79" s="197"/>
      <c r="I79" s="197"/>
      <c r="J79" s="197"/>
    </row>
    <row r="80" spans="1:10" ht="12.75">
      <c r="A80" s="59"/>
      <c r="B80" s="59"/>
      <c r="C80" s="198" t="s">
        <v>80</v>
      </c>
      <c r="D80" s="59"/>
      <c r="E80" s="59"/>
      <c r="F80" s="59"/>
      <c r="G80" s="59"/>
      <c r="H80" s="59"/>
      <c r="I80" s="59"/>
      <c r="J80" s="59"/>
    </row>
    <row r="81" spans="1:10" ht="12.75">
      <c r="A81" s="59"/>
      <c r="B81" s="59"/>
      <c r="C81" s="198" t="s">
        <v>81</v>
      </c>
      <c r="D81" s="59"/>
      <c r="E81" s="59"/>
      <c r="F81" s="59"/>
      <c r="G81" s="59"/>
      <c r="H81" s="59"/>
      <c r="I81" s="59"/>
      <c r="J81" s="59"/>
    </row>
    <row r="82" spans="1:11" ht="12.75">
      <c r="A82" s="59"/>
      <c r="B82" s="59"/>
      <c r="C82" s="198" t="s">
        <v>82</v>
      </c>
      <c r="D82" s="59"/>
      <c r="E82" s="59"/>
      <c r="F82" s="59"/>
      <c r="G82" s="59"/>
      <c r="H82" s="59"/>
      <c r="I82" s="59"/>
      <c r="J82" s="59"/>
      <c r="K82" t="s">
        <v>87</v>
      </c>
    </row>
    <row r="83" spans="1:10" ht="7.5" customHeight="1">
      <c r="A83" s="59"/>
      <c r="B83" s="59"/>
      <c r="C83" s="198"/>
      <c r="D83" s="59"/>
      <c r="E83" s="59"/>
      <c r="F83" s="59"/>
      <c r="G83" s="59"/>
      <c r="H83" s="59"/>
      <c r="I83" s="59"/>
      <c r="J83" s="59"/>
    </row>
    <row r="84" spans="1:10" ht="12.75" customHeight="1">
      <c r="A84" s="59"/>
      <c r="B84" s="220" t="s">
        <v>145</v>
      </c>
      <c r="C84" s="220"/>
      <c r="D84" s="220"/>
      <c r="E84" s="220"/>
      <c r="F84" s="220"/>
      <c r="G84" s="220"/>
      <c r="H84" s="220"/>
      <c r="I84" s="220"/>
      <c r="J84" s="220"/>
    </row>
    <row r="85" spans="1:10" ht="12.75">
      <c r="A85" s="59"/>
      <c r="B85" s="220"/>
      <c r="C85" s="220"/>
      <c r="D85" s="220"/>
      <c r="E85" s="220"/>
      <c r="F85" s="220"/>
      <c r="G85" s="220"/>
      <c r="H85" s="220"/>
      <c r="I85" s="220"/>
      <c r="J85" s="220"/>
    </row>
    <row r="86" spans="2:10" ht="12.75">
      <c r="B86" s="50"/>
      <c r="C86" s="50"/>
      <c r="D86" s="50"/>
      <c r="E86" s="50"/>
      <c r="F86" s="50"/>
      <c r="G86" s="50"/>
      <c r="H86" s="50"/>
      <c r="I86" s="50"/>
      <c r="J86" s="50"/>
    </row>
    <row r="88" spans="1:6" ht="12.75">
      <c r="A88" s="193" t="s">
        <v>117</v>
      </c>
      <c r="B88" s="194"/>
      <c r="C88" s="194"/>
      <c r="D88" s="194"/>
      <c r="E88" s="194"/>
      <c r="F88" s="194"/>
    </row>
    <row r="89" spans="1:6" ht="9" customHeight="1">
      <c r="A89" s="193"/>
      <c r="B89" s="194"/>
      <c r="C89" s="194"/>
      <c r="D89" s="194"/>
      <c r="E89" s="194"/>
      <c r="F89" s="194"/>
    </row>
    <row r="90" spans="1:10" ht="12.75">
      <c r="A90" s="59"/>
      <c r="B90" s="199">
        <v>1</v>
      </c>
      <c r="C90" s="221" t="s">
        <v>147</v>
      </c>
      <c r="D90" s="221"/>
      <c r="E90" s="221"/>
      <c r="F90" s="221"/>
      <c r="G90" s="221"/>
      <c r="H90" s="221"/>
      <c r="I90" s="221"/>
      <c r="J90" s="221"/>
    </row>
    <row r="91" spans="1:10" ht="0.75" customHeight="1">
      <c r="A91" s="59"/>
      <c r="B91" s="59"/>
      <c r="C91" s="221"/>
      <c r="D91" s="221"/>
      <c r="E91" s="221"/>
      <c r="F91" s="221"/>
      <c r="G91" s="221"/>
      <c r="H91" s="221"/>
      <c r="I91" s="221"/>
      <c r="J91" s="221"/>
    </row>
    <row r="92" spans="1:10" ht="12.75">
      <c r="A92" s="59"/>
      <c r="B92" s="59"/>
      <c r="C92" s="221"/>
      <c r="D92" s="221"/>
      <c r="E92" s="221"/>
      <c r="F92" s="221"/>
      <c r="G92" s="221"/>
      <c r="H92" s="221"/>
      <c r="I92" s="221"/>
      <c r="J92" s="221"/>
    </row>
    <row r="93" spans="1:23" ht="12.75">
      <c r="A93" s="59"/>
      <c r="B93" s="199">
        <v>2</v>
      </c>
      <c r="C93" s="59" t="s">
        <v>119</v>
      </c>
      <c r="D93" s="59"/>
      <c r="E93" s="59"/>
      <c r="F93" s="59"/>
      <c r="G93" s="59"/>
      <c r="H93" s="59"/>
      <c r="I93" s="59"/>
      <c r="J93" s="59"/>
      <c r="Q93" s="64"/>
      <c r="R93" s="64"/>
      <c r="S93" s="64"/>
      <c r="T93" s="64"/>
      <c r="U93" s="64"/>
      <c r="V93" s="64"/>
      <c r="W93" s="64"/>
    </row>
    <row r="94" spans="1:10" ht="12.75">
      <c r="A94" s="59"/>
      <c r="B94" s="199">
        <v>3</v>
      </c>
      <c r="C94" s="220" t="s">
        <v>126</v>
      </c>
      <c r="D94" s="220"/>
      <c r="E94" s="220"/>
      <c r="F94" s="220"/>
      <c r="G94" s="220"/>
      <c r="H94" s="220"/>
      <c r="I94" s="220"/>
      <c r="J94" s="220"/>
    </row>
    <row r="95" spans="1:10" ht="12.75">
      <c r="A95" s="59"/>
      <c r="B95" s="59"/>
      <c r="C95" s="220"/>
      <c r="D95" s="220"/>
      <c r="E95" s="220"/>
      <c r="F95" s="220"/>
      <c r="G95" s="220"/>
      <c r="H95" s="220"/>
      <c r="I95" s="220"/>
      <c r="J95" s="220"/>
    </row>
    <row r="96" spans="1:10" ht="12.75">
      <c r="A96" s="59"/>
      <c r="B96" s="199">
        <v>4</v>
      </c>
      <c r="C96" s="59" t="s">
        <v>118</v>
      </c>
      <c r="D96" s="59"/>
      <c r="E96" s="59"/>
      <c r="F96" s="59"/>
      <c r="G96" s="59"/>
      <c r="H96" s="59"/>
      <c r="I96" s="59"/>
      <c r="J96" s="59"/>
    </row>
    <row r="97" spans="1:10" ht="12.75">
      <c r="A97" s="59"/>
      <c r="B97" s="199">
        <v>5</v>
      </c>
      <c r="C97" s="59" t="s">
        <v>127</v>
      </c>
      <c r="D97" s="59"/>
      <c r="E97" s="59"/>
      <c r="F97" s="59"/>
      <c r="G97" s="59"/>
      <c r="H97" s="59"/>
      <c r="I97" s="59"/>
      <c r="J97" s="59"/>
    </row>
    <row r="98" spans="1:10" ht="12.75">
      <c r="A98" s="59"/>
      <c r="B98" s="199">
        <v>6</v>
      </c>
      <c r="C98" s="220" t="s">
        <v>138</v>
      </c>
      <c r="D98" s="220"/>
      <c r="E98" s="220"/>
      <c r="F98" s="220"/>
      <c r="G98" s="220"/>
      <c r="H98" s="220"/>
      <c r="I98" s="220"/>
      <c r="J98" s="220"/>
    </row>
    <row r="99" spans="1:10" ht="12.75">
      <c r="A99" s="59"/>
      <c r="B99" s="199"/>
      <c r="C99" s="220"/>
      <c r="D99" s="220"/>
      <c r="E99" s="220"/>
      <c r="F99" s="220"/>
      <c r="G99" s="220"/>
      <c r="H99" s="220"/>
      <c r="I99" s="220"/>
      <c r="J99" s="220"/>
    </row>
    <row r="100" spans="1:10" ht="12.75">
      <c r="A100" s="59"/>
      <c r="B100" s="199"/>
      <c r="C100" s="220"/>
      <c r="D100" s="220"/>
      <c r="E100" s="220"/>
      <c r="F100" s="220"/>
      <c r="G100" s="220"/>
      <c r="H100" s="220"/>
      <c r="I100" s="220"/>
      <c r="J100" s="220"/>
    </row>
    <row r="101" spans="1:10" ht="12.75">
      <c r="A101" s="59"/>
      <c r="B101" s="199"/>
      <c r="C101" s="220"/>
      <c r="D101" s="220"/>
      <c r="E101" s="220"/>
      <c r="F101" s="220"/>
      <c r="G101" s="220"/>
      <c r="H101" s="220"/>
      <c r="I101" s="220"/>
      <c r="J101" s="220"/>
    </row>
    <row r="102" spans="1:10" ht="12.75">
      <c r="A102" s="59"/>
      <c r="B102" s="199">
        <v>7</v>
      </c>
      <c r="C102" s="222" t="s">
        <v>148</v>
      </c>
      <c r="D102" s="220"/>
      <c r="E102" s="220"/>
      <c r="F102" s="220"/>
      <c r="G102" s="220"/>
      <c r="H102" s="220"/>
      <c r="I102" s="220"/>
      <c r="J102" s="220"/>
    </row>
    <row r="103" spans="1:10" ht="12.75">
      <c r="A103" s="59"/>
      <c r="B103" s="199"/>
      <c r="C103" s="220"/>
      <c r="D103" s="220"/>
      <c r="E103" s="220"/>
      <c r="F103" s="220"/>
      <c r="G103" s="220"/>
      <c r="H103" s="220"/>
      <c r="I103" s="220"/>
      <c r="J103" s="220"/>
    </row>
    <row r="104" spans="1:10" ht="12.75">
      <c r="A104" s="59"/>
      <c r="B104" s="199"/>
      <c r="C104" s="220"/>
      <c r="D104" s="220"/>
      <c r="E104" s="220"/>
      <c r="F104" s="220"/>
      <c r="G104" s="220"/>
      <c r="H104" s="220"/>
      <c r="I104" s="220"/>
      <c r="J104" s="220"/>
    </row>
    <row r="105" spans="1:10" ht="12.75">
      <c r="A105" s="59"/>
      <c r="B105" s="199">
        <v>8</v>
      </c>
      <c r="C105" s="59" t="s">
        <v>120</v>
      </c>
      <c r="D105" s="59"/>
      <c r="E105" s="59"/>
      <c r="F105" s="59"/>
      <c r="G105" s="59"/>
      <c r="H105" s="59"/>
      <c r="I105" s="59"/>
      <c r="J105" s="59"/>
    </row>
    <row r="106" spans="1:10" ht="12.75">
      <c r="A106" s="59"/>
      <c r="B106" s="199">
        <v>9</v>
      </c>
      <c r="C106" s="59" t="s">
        <v>149</v>
      </c>
      <c r="D106" s="59"/>
      <c r="E106" s="59"/>
      <c r="F106" s="59"/>
      <c r="G106" s="59"/>
      <c r="H106" s="59"/>
      <c r="I106" s="59"/>
      <c r="J106" s="59"/>
    </row>
    <row r="107" spans="1:10" ht="12.75">
      <c r="A107" s="59"/>
      <c r="B107" s="199">
        <v>10</v>
      </c>
      <c r="C107" s="220" t="s">
        <v>131</v>
      </c>
      <c r="D107" s="220"/>
      <c r="E107" s="220"/>
      <c r="F107" s="220"/>
      <c r="G107" s="220"/>
      <c r="H107" s="220"/>
      <c r="I107" s="220"/>
      <c r="J107" s="220"/>
    </row>
    <row r="108" spans="1:10" ht="12.75">
      <c r="A108" s="59"/>
      <c r="B108" s="59"/>
      <c r="C108" s="220"/>
      <c r="D108" s="220"/>
      <c r="E108" s="220"/>
      <c r="F108" s="220"/>
      <c r="G108" s="220"/>
      <c r="H108" s="220"/>
      <c r="I108" s="220"/>
      <c r="J108" s="220"/>
    </row>
    <row r="110" spans="1:3" ht="12.75">
      <c r="A110" s="58" t="s">
        <v>134</v>
      </c>
      <c r="C110" s="59"/>
    </row>
    <row r="111" ht="9" customHeight="1">
      <c r="A111" s="58"/>
    </row>
    <row r="112" spans="2:9" ht="12.75">
      <c r="B112" s="227" t="s">
        <v>135</v>
      </c>
      <c r="C112" s="227"/>
      <c r="D112" s="227"/>
      <c r="E112" s="227"/>
      <c r="F112" s="227"/>
      <c r="G112" s="227"/>
      <c r="H112" s="227"/>
      <c r="I112" s="227"/>
    </row>
    <row r="113" spans="2:9" ht="12.75">
      <c r="B113" s="227"/>
      <c r="C113" s="227"/>
      <c r="D113" s="227"/>
      <c r="E113" s="227"/>
      <c r="F113" s="227"/>
      <c r="G113" s="227"/>
      <c r="H113" s="227"/>
      <c r="I113" s="227"/>
    </row>
    <row r="114" spans="2:9" ht="12.75">
      <c r="B114" s="227"/>
      <c r="C114" s="227"/>
      <c r="D114" s="227"/>
      <c r="E114" s="227"/>
      <c r="F114" s="227"/>
      <c r="G114" s="227"/>
      <c r="H114" s="227"/>
      <c r="I114" s="227"/>
    </row>
    <row r="115" spans="2:9" ht="12.75">
      <c r="B115" s="227"/>
      <c r="C115" s="227"/>
      <c r="D115" s="227"/>
      <c r="E115" s="227"/>
      <c r="F115" s="227"/>
      <c r="G115" s="227"/>
      <c r="H115" s="227"/>
      <c r="I115" s="227"/>
    </row>
    <row r="116" spans="2:9" ht="11.25" customHeight="1">
      <c r="B116" s="227"/>
      <c r="C116" s="227"/>
      <c r="D116" s="227"/>
      <c r="E116" s="227"/>
      <c r="F116" s="227"/>
      <c r="G116" s="227"/>
      <c r="H116" s="227"/>
      <c r="I116" s="227"/>
    </row>
    <row r="117" spans="2:9" ht="12.75">
      <c r="B117" s="227" t="s">
        <v>150</v>
      </c>
      <c r="C117" s="227"/>
      <c r="D117" s="227"/>
      <c r="E117" s="227"/>
      <c r="F117" s="227"/>
      <c r="G117" s="227"/>
      <c r="H117" s="227"/>
      <c r="I117" s="227"/>
    </row>
    <row r="118" spans="2:9" ht="12.75">
      <c r="B118" s="227"/>
      <c r="C118" s="227"/>
      <c r="D118" s="227"/>
      <c r="E118" s="227"/>
      <c r="F118" s="227"/>
      <c r="G118" s="227"/>
      <c r="H118" s="227"/>
      <c r="I118" s="227"/>
    </row>
  </sheetData>
  <sheetProtection selectLockedCells="1" selectUnlockedCells="1"/>
  <mergeCells count="28">
    <mergeCell ref="B112:I116"/>
    <mergeCell ref="B117:I118"/>
    <mergeCell ref="B7:J11"/>
    <mergeCell ref="C90:J92"/>
    <mergeCell ref="C94:J95"/>
    <mergeCell ref="C98:J101"/>
    <mergeCell ref="B30:J31"/>
    <mergeCell ref="C73:J74"/>
    <mergeCell ref="B84:J85"/>
    <mergeCell ref="B15:J16"/>
    <mergeCell ref="A1:J1"/>
    <mergeCell ref="C75:J76"/>
    <mergeCell ref="C50:J51"/>
    <mergeCell ref="C56:J57"/>
    <mergeCell ref="C59:J60"/>
    <mergeCell ref="C53:J55"/>
    <mergeCell ref="B65:J67"/>
    <mergeCell ref="B63:J63"/>
    <mergeCell ref="B12:F12"/>
    <mergeCell ref="B4:J5"/>
    <mergeCell ref="C107:J108"/>
    <mergeCell ref="B34:J35"/>
    <mergeCell ref="B36:J37"/>
    <mergeCell ref="C77:J78"/>
    <mergeCell ref="B69:J70"/>
    <mergeCell ref="B45:J46"/>
    <mergeCell ref="C102:J104"/>
    <mergeCell ref="B40:J42"/>
  </mergeCells>
  <hyperlinks>
    <hyperlink ref="B12" location="'Guide de l''utilisateur'!A70" display="Étapes à suivre pour remplir la feuille de calcul"/>
    <hyperlink ref="B12:F12" location="'Guide de l''utilisateur'!A87:J104" display="Étapes à suivre pour remplir la feuille de calculs"/>
    <hyperlink ref="K1" location="'Évaluation des bâtiments simple'!A1" display="Retour vers le calculateur simplifié"/>
    <hyperlink ref="N1" location="'Évaluation des bâtiments'!A1" display="Retour vers le calculateur complet"/>
  </hyperlinks>
  <printOptions/>
  <pageMargins left="0.5905511811023623" right="0.5905511811023623" top="1.3474015748031496" bottom="0.7874015748031497" header="0.5118110236220472" footer="0.5118110236220472"/>
  <pageSetup horizontalDpi="600" verticalDpi="600" orientation="portrait" paperSize="9" scale="95" r:id="rId2"/>
  <rowBreaks count="2" manualBreakCount="2">
    <brk id="43" max="9" man="1"/>
    <brk id="87" max="9" man="1"/>
  </rowBreaks>
  <drawing r:id="rId1"/>
</worksheet>
</file>

<file path=xl/worksheets/sheet2.xml><?xml version="1.0" encoding="utf-8"?>
<worksheet xmlns="http://schemas.openxmlformats.org/spreadsheetml/2006/main" xmlns:r="http://schemas.openxmlformats.org/officeDocument/2006/relationships">
  <sheetPr codeName="Feuil3"/>
  <dimension ref="A1:AS110"/>
  <sheetViews>
    <sheetView showGridLines="0" zoomScaleSheetLayoutView="75" zoomScalePageLayoutView="0" workbookViewId="0" topLeftCell="A1">
      <pane xSplit="4" ySplit="22" topLeftCell="E68" activePane="bottomRight" state="frozen"/>
      <selection pane="topLeft" activeCell="B1" sqref="B1"/>
      <selection pane="topRight" activeCell="E1" sqref="E1"/>
      <selection pane="bottomLeft" activeCell="B26" sqref="B26"/>
      <selection pane="bottomRight" activeCell="A77" sqref="A77:IV77"/>
    </sheetView>
  </sheetViews>
  <sheetFormatPr defaultColWidth="11.421875" defaultRowHeight="12.75"/>
  <cols>
    <col min="1" max="1" width="2.8515625" style="0" hidden="1" customWidth="1"/>
    <col min="2" max="2" width="2.00390625" style="0" hidden="1" customWidth="1"/>
    <col min="3" max="3" width="33.421875" style="0" customWidth="1"/>
    <col min="4" max="4" width="23.28125" style="0" customWidth="1"/>
    <col min="5" max="5" width="8.00390625" style="0" customWidth="1"/>
    <col min="6" max="6" width="11.57421875" style="0" customWidth="1"/>
    <col min="7" max="7" width="12.00390625" style="0" customWidth="1"/>
    <col min="8" max="8" width="11.8515625" style="0" hidden="1" customWidth="1"/>
    <col min="9" max="9" width="6.57421875" style="0" hidden="1" customWidth="1"/>
    <col min="10" max="10" width="7.57421875" style="0" hidden="1" customWidth="1"/>
    <col min="11" max="11" width="12.8515625" style="0" customWidth="1"/>
    <col min="12" max="12" width="14.28125" style="0" customWidth="1"/>
    <col min="13" max="14" width="15.8515625" style="0" hidden="1" customWidth="1"/>
    <col min="15" max="15" width="13.00390625" style="0" customWidth="1"/>
    <col min="16" max="16" width="12.57421875" style="0" hidden="1" customWidth="1"/>
    <col min="17" max="17" width="14.28125" style="0" customWidth="1"/>
    <col min="18" max="18" width="8.7109375" style="0" customWidth="1"/>
    <col min="19" max="19" width="14.28125" style="0" customWidth="1"/>
    <col min="20" max="20" width="3.421875" style="0" customWidth="1"/>
    <col min="28" max="28" width="15.57421875" style="0" customWidth="1"/>
    <col min="29" max="45" width="11.421875" style="0" hidden="1" customWidth="1"/>
  </cols>
  <sheetData>
    <row r="1" spans="3:4" ht="20.25">
      <c r="C1" s="239" t="s">
        <v>21</v>
      </c>
      <c r="D1" s="240"/>
    </row>
    <row r="2" spans="3:4" ht="10.5" customHeight="1">
      <c r="C2" s="1"/>
      <c r="D2" s="1"/>
    </row>
    <row r="3" spans="3:10" ht="18">
      <c r="C3" s="33" t="s">
        <v>7</v>
      </c>
      <c r="D3" s="76"/>
      <c r="E3" s="77"/>
      <c r="F3" s="77"/>
      <c r="G3" s="32"/>
      <c r="H3" s="31"/>
      <c r="I3" s="35"/>
      <c r="J3" s="35"/>
    </row>
    <row r="4" spans="3:5" ht="18.75" customHeight="1">
      <c r="C4" s="3"/>
      <c r="D4" s="3"/>
      <c r="E4" s="1"/>
    </row>
    <row r="11" ht="14.25">
      <c r="U11" s="206"/>
    </row>
    <row r="15" ht="12.75" hidden="1"/>
    <row r="16" ht="12.75" hidden="1"/>
    <row r="17" ht="12.75" hidden="1"/>
    <row r="18" ht="12.75" hidden="1"/>
    <row r="19" ht="12.75" hidden="1"/>
    <row r="20" ht="12.75" hidden="1"/>
    <row r="21" spans="4:10" ht="12.75" hidden="1">
      <c r="D21" s="13"/>
      <c r="E21" s="13"/>
      <c r="F21" s="13"/>
      <c r="G21" s="13"/>
      <c r="H21" s="13"/>
      <c r="I21" s="35"/>
      <c r="J21" s="35"/>
    </row>
    <row r="22" s="57" customFormat="1" ht="13.5" thickBot="1"/>
    <row r="23" spans="1:19" ht="19.5" customHeight="1">
      <c r="A23" t="s">
        <v>108</v>
      </c>
      <c r="C23" s="89" t="s">
        <v>45</v>
      </c>
      <c r="D23" s="90"/>
      <c r="E23" s="91"/>
      <c r="F23" s="92"/>
      <c r="G23" s="92"/>
      <c r="H23" s="93"/>
      <c r="I23" s="231" t="s">
        <v>110</v>
      </c>
      <c r="J23" s="231"/>
      <c r="K23" s="90"/>
      <c r="L23" s="90"/>
      <c r="M23" s="94"/>
      <c r="N23" s="90"/>
      <c r="O23" s="90"/>
      <c r="P23" s="90"/>
      <c r="Q23" s="90"/>
      <c r="R23" s="90"/>
      <c r="S23" s="233" t="s">
        <v>125</v>
      </c>
    </row>
    <row r="24" spans="1:23" s="2" customFormat="1" ht="29.25" customHeight="1">
      <c r="A24" s="2" t="s">
        <v>108</v>
      </c>
      <c r="C24" s="96"/>
      <c r="D24" s="97" t="s">
        <v>23</v>
      </c>
      <c r="E24" s="99" t="s">
        <v>18</v>
      </c>
      <c r="F24" s="84" t="s">
        <v>123</v>
      </c>
      <c r="G24" s="84" t="s">
        <v>124</v>
      </c>
      <c r="H24" s="84" t="s">
        <v>44</v>
      </c>
      <c r="I24" s="232"/>
      <c r="J24" s="232"/>
      <c r="K24" s="99" t="s">
        <v>88</v>
      </c>
      <c r="L24" s="84" t="s">
        <v>0</v>
      </c>
      <c r="M24" s="84" t="s">
        <v>19</v>
      </c>
      <c r="N24" s="84" t="s">
        <v>6</v>
      </c>
      <c r="O24" s="99" t="s">
        <v>10</v>
      </c>
      <c r="P24" s="84" t="s">
        <v>4</v>
      </c>
      <c r="Q24" s="84" t="s">
        <v>8</v>
      </c>
      <c r="R24" s="98" t="s">
        <v>128</v>
      </c>
      <c r="S24" s="230"/>
      <c r="V24" s="191"/>
      <c r="W24" s="191"/>
    </row>
    <row r="25" spans="1:45" s="2" customFormat="1" ht="12.75" customHeight="1">
      <c r="A25" s="2" t="s">
        <v>108</v>
      </c>
      <c r="C25" s="70" t="s">
        <v>2</v>
      </c>
      <c r="D25" s="71"/>
      <c r="E25" s="72"/>
      <c r="F25" s="72">
        <v>40</v>
      </c>
      <c r="G25" s="72">
        <v>138</v>
      </c>
      <c r="H25" s="176">
        <f aca="true" t="shared" si="0" ref="H25:H34">F25*G25</f>
        <v>5520</v>
      </c>
      <c r="I25" s="177">
        <f>IF(C25=0,0,VLOOKUP(C25,Paramètres!$C$5:$H$42,3,FALSE))</f>
        <v>32.230000000000004</v>
      </c>
      <c r="J25" s="177">
        <f>IF(C25=0,0,VLOOKUP(C25,Paramètres!$C$5:$H$42,4,FALSE))</f>
        <v>40.29</v>
      </c>
      <c r="K25" s="73">
        <f>IF(C25=0,0,VLOOKUP(C25,Paramètres!$C$5:$H$42,5,FALSE))</f>
        <v>33.6</v>
      </c>
      <c r="L25" s="103">
        <f aca="true" t="shared" si="1" ref="L25:L30">H25*K25</f>
        <v>185472</v>
      </c>
      <c r="M25" s="4">
        <f>IF(C25=0,0,VLOOKUP(C25,Paramètres!$C$5:$H$42,2,FALSE))</f>
        <v>35</v>
      </c>
      <c r="N25" s="11">
        <f aca="true" t="shared" si="2" ref="N25:N34">IF(M25=40,POWER(0.95,E25),IF(M25=35,POWER(0.94,E25),IF(M25=30,POWER(0.93,E25),IF(M25=25,POWER(0.91,E25),IF(M25=20,POWER(0.89,E25),IF(M25=15,POWER(0.87,E25),IF(M25=10,POWER(0.8,E25),0)))))))</f>
        <v>1</v>
      </c>
      <c r="O25" s="88"/>
      <c r="P25" s="5">
        <f>L25*N25*O25</f>
        <v>0</v>
      </c>
      <c r="Q25" s="103">
        <f>IF(E25=0,0,L25*N25*O25)</f>
        <v>0</v>
      </c>
      <c r="R25" s="88"/>
      <c r="S25" s="106">
        <f aca="true" t="shared" si="3" ref="S25:S34">Q25*R25</f>
        <v>0</v>
      </c>
      <c r="V25" s="192">
        <f aca="true" t="shared" si="4" ref="V25:V34">IF(Q25=0,0,L25)</f>
        <v>0</v>
      </c>
      <c r="W25" s="191"/>
      <c r="AC25" s="70" t="s">
        <v>2</v>
      </c>
      <c r="AD25" s="71"/>
      <c r="AE25" s="72"/>
      <c r="AF25" s="72">
        <v>40</v>
      </c>
      <c r="AG25" s="72">
        <v>138</v>
      </c>
      <c r="AH25" s="176">
        <f aca="true" t="shared" si="5" ref="AH25:AH34">AF25*AG25</f>
        <v>5520</v>
      </c>
      <c r="AI25" s="177">
        <f>IF(AC25=0,0,VLOOKUP(AC25,Paramètres!$C$5:$H$42,3,FALSE))</f>
        <v>32.230000000000004</v>
      </c>
      <c r="AJ25" s="177">
        <f>IF(AC25=0,0,VLOOKUP(AC25,Paramètres!$C$5:$H$42,4,FALSE))</f>
        <v>40.29</v>
      </c>
      <c r="AK25" s="73">
        <v>30</v>
      </c>
      <c r="AL25" s="103">
        <f aca="true" t="shared" si="6" ref="AL25:AL30">AH25*AK25</f>
        <v>165600</v>
      </c>
      <c r="AM25" s="4">
        <f>IF(AC25=0,0,VLOOKUP(AC25,Paramètres!$C$5:$H$42,2,FALSE))</f>
        <v>35</v>
      </c>
      <c r="AN25" s="11">
        <f aca="true" t="shared" si="7" ref="AN25:AN34">IF(AM25=40,POWER(0.95,AE25),IF(AM25=35,POWER(0.94,AE25),IF(AM25=30,POWER(0.93,AE25),IF(AM25=25,POWER(0.91,AE25),IF(AM25=20,POWER(0.89,AE25),IF(AM25=15,POWER(0.87,AE25),IF(AM25=10,POWER(0.8,AE25),0)))))))</f>
        <v>1</v>
      </c>
      <c r="AO25" s="88"/>
      <c r="AP25" s="5">
        <f>AL25*AN25*AO25</f>
        <v>0</v>
      </c>
      <c r="AQ25" s="103">
        <f>IF(AE25=0,0,AL25*AN25*AO25)</f>
        <v>0</v>
      </c>
      <c r="AR25" s="88"/>
      <c r="AS25" s="106">
        <f aca="true" t="shared" si="8" ref="AS25:AS34">AQ25*AR25</f>
        <v>0</v>
      </c>
    </row>
    <row r="26" spans="1:45" s="2" customFormat="1" ht="12.75" customHeight="1">
      <c r="A26" s="2" t="s">
        <v>108</v>
      </c>
      <c r="C26" s="70" t="s">
        <v>35</v>
      </c>
      <c r="D26" s="71"/>
      <c r="E26" s="72"/>
      <c r="F26" s="72">
        <v>40</v>
      </c>
      <c r="G26" s="72">
        <v>138</v>
      </c>
      <c r="H26" s="176">
        <f t="shared" si="0"/>
        <v>5520</v>
      </c>
      <c r="I26" s="177">
        <f>IF(C26=0,0,VLOOKUP(C26,Paramètres!$C$5:$H$42,3,FALSE))</f>
        <v>26.98</v>
      </c>
      <c r="J26" s="177">
        <f>IF(C26=0,0,VLOOKUP(C26,Paramètres!$C$5:$H$42,4,FALSE))</f>
        <v>33.18</v>
      </c>
      <c r="K26" s="73">
        <f>IF(C26=0,0,VLOOKUP(C26,Paramètres!$C$5:$H$42,5,FALSE))</f>
        <v>28.35</v>
      </c>
      <c r="L26" s="103">
        <f t="shared" si="1"/>
        <v>156492</v>
      </c>
      <c r="M26" s="4">
        <f>IF(C26=0,0,VLOOKUP(C26,Paramètres!$C$5:$H$42,2,FALSE))</f>
        <v>35</v>
      </c>
      <c r="N26" s="11">
        <f t="shared" si="2"/>
        <v>1</v>
      </c>
      <c r="O26" s="88"/>
      <c r="P26" s="5"/>
      <c r="Q26" s="103">
        <f aca="true" t="shared" si="9" ref="Q26:Q34">IF(E26=0,0,L26*N26*O26)</f>
        <v>0</v>
      </c>
      <c r="R26" s="88"/>
      <c r="S26" s="106">
        <f t="shared" si="3"/>
        <v>0</v>
      </c>
      <c r="V26" s="192">
        <f t="shared" si="4"/>
        <v>0</v>
      </c>
      <c r="W26" s="191"/>
      <c r="AC26" s="70" t="s">
        <v>35</v>
      </c>
      <c r="AD26" s="71"/>
      <c r="AE26" s="72"/>
      <c r="AF26" s="72">
        <v>40</v>
      </c>
      <c r="AG26" s="72">
        <v>138</v>
      </c>
      <c r="AH26" s="176">
        <f t="shared" si="5"/>
        <v>5520</v>
      </c>
      <c r="AI26" s="177">
        <f>IF(AC26=0,0,VLOOKUP(AC26,Paramètres!$C$5:$H$42,3,FALSE))</f>
        <v>26.98</v>
      </c>
      <c r="AJ26" s="177">
        <f>IF(AC26=0,0,VLOOKUP(AC26,Paramètres!$C$5:$H$42,4,FALSE))</f>
        <v>33.18</v>
      </c>
      <c r="AK26" s="73">
        <f>IF(AC26=0,0,VLOOKUP(AC26,Paramètres!$C$5:$H$42,5,FALSE))</f>
        <v>28.35</v>
      </c>
      <c r="AL26" s="103">
        <f t="shared" si="6"/>
        <v>156492</v>
      </c>
      <c r="AM26" s="4">
        <f>IF(AC26=0,0,VLOOKUP(AC26,Paramètres!$C$5:$H$42,2,FALSE))</f>
        <v>35</v>
      </c>
      <c r="AN26" s="11">
        <f t="shared" si="7"/>
        <v>1</v>
      </c>
      <c r="AO26" s="88"/>
      <c r="AP26" s="5"/>
      <c r="AQ26" s="103">
        <f aca="true" t="shared" si="10" ref="AQ26:AQ34">IF(AE26=0,0,AL26*AN26*AO26)</f>
        <v>0</v>
      </c>
      <c r="AR26" s="88"/>
      <c r="AS26" s="106">
        <f t="shared" si="8"/>
        <v>0</v>
      </c>
    </row>
    <row r="27" spans="1:45" s="2" customFormat="1" ht="12.75" customHeight="1">
      <c r="A27" s="2" t="s">
        <v>108</v>
      </c>
      <c r="C27" s="70" t="s">
        <v>34</v>
      </c>
      <c r="D27" s="71"/>
      <c r="E27" s="72"/>
      <c r="F27" s="72">
        <v>44</v>
      </c>
      <c r="G27" s="72">
        <v>138</v>
      </c>
      <c r="H27" s="176">
        <f t="shared" si="0"/>
        <v>6072</v>
      </c>
      <c r="I27" s="177">
        <f>IF(C27=0,0,VLOOKUP(C27,Paramètres!$C$5:$H$42,3,FALSE))</f>
        <v>26.98</v>
      </c>
      <c r="J27" s="177">
        <f>IF(C27=0,0,VLOOKUP(C27,Paramètres!$C$5:$H$42,4,FALSE))</f>
        <v>41.58</v>
      </c>
      <c r="K27" s="73">
        <f>IF(C27=0,0,VLOOKUP(C27,Paramètres!$C$5:$H$42,5,FALSE))</f>
        <v>32.55</v>
      </c>
      <c r="L27" s="103">
        <f t="shared" si="1"/>
        <v>197643.59999999998</v>
      </c>
      <c r="M27" s="4">
        <f>IF(C27=0,0,VLOOKUP(C27,Paramètres!$C$5:$H$42,2,FALSE))</f>
        <v>30</v>
      </c>
      <c r="N27" s="11">
        <f t="shared" si="2"/>
        <v>1</v>
      </c>
      <c r="O27" s="88"/>
      <c r="P27" s="5"/>
      <c r="Q27" s="103">
        <f t="shared" si="9"/>
        <v>0</v>
      </c>
      <c r="R27" s="88"/>
      <c r="S27" s="106">
        <f t="shared" si="3"/>
        <v>0</v>
      </c>
      <c r="V27" s="192">
        <f t="shared" si="4"/>
        <v>0</v>
      </c>
      <c r="W27" s="191"/>
      <c r="AC27" s="70" t="s">
        <v>34</v>
      </c>
      <c r="AD27" s="71"/>
      <c r="AE27" s="72"/>
      <c r="AF27" s="72">
        <v>44</v>
      </c>
      <c r="AG27" s="72">
        <v>138</v>
      </c>
      <c r="AH27" s="176">
        <f t="shared" si="5"/>
        <v>6072</v>
      </c>
      <c r="AI27" s="177">
        <f>IF(AC27=0,0,VLOOKUP(AC27,Paramètres!$C$5:$H$42,3,FALSE))</f>
        <v>26.98</v>
      </c>
      <c r="AJ27" s="177">
        <f>IF(AC27=0,0,VLOOKUP(AC27,Paramètres!$C$5:$H$42,4,FALSE))</f>
        <v>41.58</v>
      </c>
      <c r="AK27" s="73">
        <f>IF(AC27=0,0,VLOOKUP(AC27,Paramètres!$C$5:$H$42,5,FALSE))</f>
        <v>32.55</v>
      </c>
      <c r="AL27" s="103">
        <f t="shared" si="6"/>
        <v>197643.59999999998</v>
      </c>
      <c r="AM27" s="4">
        <f>IF(AC27=0,0,VLOOKUP(AC27,Paramètres!$C$5:$H$42,2,FALSE))</f>
        <v>30</v>
      </c>
      <c r="AN27" s="11">
        <f t="shared" si="7"/>
        <v>1</v>
      </c>
      <c r="AO27" s="88"/>
      <c r="AP27" s="5"/>
      <c r="AQ27" s="103">
        <f t="shared" si="10"/>
        <v>0</v>
      </c>
      <c r="AR27" s="88"/>
      <c r="AS27" s="106">
        <f t="shared" si="8"/>
        <v>0</v>
      </c>
    </row>
    <row r="28" spans="1:45" s="2" customFormat="1" ht="12.75" customHeight="1">
      <c r="A28" s="2" t="s">
        <v>108</v>
      </c>
      <c r="C28" s="70" t="s">
        <v>33</v>
      </c>
      <c r="D28" s="71"/>
      <c r="E28" s="72"/>
      <c r="F28" s="72">
        <v>26</v>
      </c>
      <c r="G28" s="72">
        <v>26</v>
      </c>
      <c r="H28" s="176">
        <f t="shared" si="0"/>
        <v>676</v>
      </c>
      <c r="I28" s="177">
        <f>IF(C28=0,0,VLOOKUP(C28,Paramètres!$C$5:$H$42,3,FALSE))</f>
        <v>51.13</v>
      </c>
      <c r="J28" s="177">
        <f>IF(C28=0,0,VLOOKUP(C28,Paramètres!$C$5:$H$42,4,FALSE))</f>
        <v>56.6</v>
      </c>
      <c r="K28" s="73">
        <f>IF(C28=0,0,VLOOKUP(C28,Paramètres!$C$5:$H$42,5,FALSE))</f>
        <v>52.5</v>
      </c>
      <c r="L28" s="103">
        <f t="shared" si="1"/>
        <v>35490</v>
      </c>
      <c r="M28" s="4">
        <f>IF(C28=0,0,VLOOKUP(C28,Paramètres!$C$5:$H$42,2,FALSE))</f>
        <v>30</v>
      </c>
      <c r="N28" s="11">
        <f t="shared" si="2"/>
        <v>1</v>
      </c>
      <c r="O28" s="88"/>
      <c r="P28" s="5"/>
      <c r="Q28" s="103">
        <f t="shared" si="9"/>
        <v>0</v>
      </c>
      <c r="R28" s="88"/>
      <c r="S28" s="106">
        <f t="shared" si="3"/>
        <v>0</v>
      </c>
      <c r="V28" s="192">
        <f t="shared" si="4"/>
        <v>0</v>
      </c>
      <c r="W28" s="191"/>
      <c r="AC28" s="70" t="s">
        <v>33</v>
      </c>
      <c r="AD28" s="71"/>
      <c r="AE28" s="72"/>
      <c r="AF28" s="72">
        <v>26</v>
      </c>
      <c r="AG28" s="72">
        <v>26</v>
      </c>
      <c r="AH28" s="176">
        <f t="shared" si="5"/>
        <v>676</v>
      </c>
      <c r="AI28" s="177">
        <f>IF(AC28=0,0,VLOOKUP(AC28,Paramètres!$C$5:$H$42,3,FALSE))</f>
        <v>51.13</v>
      </c>
      <c r="AJ28" s="177">
        <f>IF(AC28=0,0,VLOOKUP(AC28,Paramètres!$C$5:$H$42,4,FALSE))</f>
        <v>56.6</v>
      </c>
      <c r="AK28" s="73">
        <f>IF(AC28=0,0,VLOOKUP(AC28,Paramètres!$C$5:$H$42,5,FALSE))</f>
        <v>52.5</v>
      </c>
      <c r="AL28" s="103">
        <f t="shared" si="6"/>
        <v>35490</v>
      </c>
      <c r="AM28" s="4">
        <f>IF(AC28=0,0,VLOOKUP(AC28,Paramètres!$C$5:$H$42,2,FALSE))</f>
        <v>30</v>
      </c>
      <c r="AN28" s="11">
        <f t="shared" si="7"/>
        <v>1</v>
      </c>
      <c r="AO28" s="88"/>
      <c r="AP28" s="5"/>
      <c r="AQ28" s="103">
        <f t="shared" si="10"/>
        <v>0</v>
      </c>
      <c r="AR28" s="88"/>
      <c r="AS28" s="106">
        <f t="shared" si="8"/>
        <v>0</v>
      </c>
    </row>
    <row r="29" spans="1:45" s="2" customFormat="1" ht="12.75" customHeight="1">
      <c r="A29" s="2" t="s">
        <v>108</v>
      </c>
      <c r="C29" s="70" t="s">
        <v>32</v>
      </c>
      <c r="D29" s="71"/>
      <c r="E29" s="72"/>
      <c r="F29" s="72">
        <v>25</v>
      </c>
      <c r="G29" s="72">
        <v>26</v>
      </c>
      <c r="H29" s="176">
        <f t="shared" si="0"/>
        <v>650</v>
      </c>
      <c r="I29" s="177">
        <f>IF(C29=0,0,VLOOKUP(C29,Paramètres!$C$5:$H$42,3,FALSE))</f>
        <v>45.88</v>
      </c>
      <c r="J29" s="177">
        <f>IF(C29=0,0,VLOOKUP(C29,Paramètres!$C$5:$H$42,4,FALSE))</f>
        <v>48.2</v>
      </c>
      <c r="K29" s="73">
        <f>IF(C29=0,0,VLOOKUP(C29,Paramètres!$C$5:$H$42,5,FALSE))</f>
        <v>47.25</v>
      </c>
      <c r="L29" s="103">
        <f t="shared" si="1"/>
        <v>30712.5</v>
      </c>
      <c r="M29" s="4">
        <f>IF(C29=0,0,VLOOKUP(C29,Paramètres!$C$5:$H$42,2,FALSE))</f>
        <v>30</v>
      </c>
      <c r="N29" s="11">
        <f t="shared" si="2"/>
        <v>1</v>
      </c>
      <c r="O29" s="88"/>
      <c r="P29" s="5"/>
      <c r="Q29" s="103">
        <f t="shared" si="9"/>
        <v>0</v>
      </c>
      <c r="R29" s="88"/>
      <c r="S29" s="106">
        <f t="shared" si="3"/>
        <v>0</v>
      </c>
      <c r="V29" s="192">
        <f t="shared" si="4"/>
        <v>0</v>
      </c>
      <c r="W29" s="191"/>
      <c r="AC29" s="70" t="s">
        <v>32</v>
      </c>
      <c r="AD29" s="71"/>
      <c r="AE29" s="72"/>
      <c r="AF29" s="72">
        <v>25</v>
      </c>
      <c r="AG29" s="72">
        <v>26</v>
      </c>
      <c r="AH29" s="176">
        <f t="shared" si="5"/>
        <v>650</v>
      </c>
      <c r="AI29" s="177">
        <f>IF(AC29=0,0,VLOOKUP(AC29,Paramètres!$C$5:$H$42,3,FALSE))</f>
        <v>45.88</v>
      </c>
      <c r="AJ29" s="177">
        <f>IF(AC29=0,0,VLOOKUP(AC29,Paramètres!$C$5:$H$42,4,FALSE))</f>
        <v>48.2</v>
      </c>
      <c r="AK29" s="73">
        <f>IF(AC29=0,0,VLOOKUP(AC29,Paramètres!$C$5:$H$42,5,FALSE))</f>
        <v>47.25</v>
      </c>
      <c r="AL29" s="103">
        <f t="shared" si="6"/>
        <v>30712.5</v>
      </c>
      <c r="AM29" s="4">
        <f>IF(AC29=0,0,VLOOKUP(AC29,Paramètres!$C$5:$H$42,2,FALSE))</f>
        <v>30</v>
      </c>
      <c r="AN29" s="11">
        <f t="shared" si="7"/>
        <v>1</v>
      </c>
      <c r="AO29" s="88"/>
      <c r="AP29" s="5"/>
      <c r="AQ29" s="103">
        <f t="shared" si="10"/>
        <v>0</v>
      </c>
      <c r="AR29" s="88"/>
      <c r="AS29" s="106">
        <f t="shared" si="8"/>
        <v>0</v>
      </c>
    </row>
    <row r="30" spans="1:45" s="2" customFormat="1" ht="12.75" customHeight="1">
      <c r="A30" s="2" t="s">
        <v>108</v>
      </c>
      <c r="C30" s="70"/>
      <c r="D30" s="71"/>
      <c r="E30" s="72"/>
      <c r="F30" s="72"/>
      <c r="G30" s="72"/>
      <c r="H30" s="176">
        <f t="shared" si="0"/>
        <v>0</v>
      </c>
      <c r="I30" s="177">
        <f>IF(C30=0,0,VLOOKUP(C30,Paramètres!$C$5:$H$42,3,FALSE))</f>
        <v>0</v>
      </c>
      <c r="J30" s="177">
        <f>IF(C30=0,0,VLOOKUP(C30,Paramètres!$C$5:$H$42,4,FALSE))</f>
        <v>0</v>
      </c>
      <c r="K30" s="73">
        <f>IF(C30=0,0,VLOOKUP(C30,Paramètres!$C$5:$H$42,5,FALSE))</f>
        <v>0</v>
      </c>
      <c r="L30" s="103">
        <f t="shared" si="1"/>
        <v>0</v>
      </c>
      <c r="M30" s="4">
        <f>IF(C30=0,0,VLOOKUP(C30,Paramètres!$C$5:$H$42,2,FALSE))</f>
        <v>0</v>
      </c>
      <c r="N30" s="11">
        <f t="shared" si="2"/>
        <v>0</v>
      </c>
      <c r="O30" s="88"/>
      <c r="P30" s="5">
        <f>L30*N30*O30</f>
        <v>0</v>
      </c>
      <c r="Q30" s="103">
        <f t="shared" si="9"/>
        <v>0</v>
      </c>
      <c r="R30" s="88"/>
      <c r="S30" s="106">
        <f t="shared" si="3"/>
        <v>0</v>
      </c>
      <c r="V30" s="192">
        <f t="shared" si="4"/>
        <v>0</v>
      </c>
      <c r="W30" s="191"/>
      <c r="AC30" s="70"/>
      <c r="AD30" s="71"/>
      <c r="AE30" s="72"/>
      <c r="AF30" s="72"/>
      <c r="AG30" s="72"/>
      <c r="AH30" s="176">
        <f t="shared" si="5"/>
        <v>0</v>
      </c>
      <c r="AI30" s="177">
        <f>IF(AC30=0,0,VLOOKUP(AC30,Paramètres!$C$5:$H$42,3,FALSE))</f>
        <v>0</v>
      </c>
      <c r="AJ30" s="177">
        <f>IF(AC30=0,0,VLOOKUP(AC30,Paramètres!$C$5:$H$42,4,FALSE))</f>
        <v>0</v>
      </c>
      <c r="AK30" s="73">
        <f>IF(AC30=0,0,VLOOKUP(AC30,Paramètres!$C$5:$H$42,5,FALSE))</f>
        <v>0</v>
      </c>
      <c r="AL30" s="103">
        <f t="shared" si="6"/>
        <v>0</v>
      </c>
      <c r="AM30" s="4">
        <f>IF(AC30=0,0,VLOOKUP(AC30,Paramètres!$C$5:$H$42,2,FALSE))</f>
        <v>0</v>
      </c>
      <c r="AN30" s="11">
        <f t="shared" si="7"/>
        <v>0</v>
      </c>
      <c r="AO30" s="88"/>
      <c r="AP30" s="5">
        <f>AL30*AN30*AO30</f>
        <v>0</v>
      </c>
      <c r="AQ30" s="103">
        <f t="shared" si="10"/>
        <v>0</v>
      </c>
      <c r="AR30" s="88"/>
      <c r="AS30" s="106">
        <f t="shared" si="8"/>
        <v>0</v>
      </c>
    </row>
    <row r="31" spans="1:45" s="2" customFormat="1" ht="12.75" customHeight="1">
      <c r="A31" s="2" t="s">
        <v>108</v>
      </c>
      <c r="C31" s="211" t="s">
        <v>158</v>
      </c>
      <c r="D31" s="71"/>
      <c r="E31" s="72"/>
      <c r="F31" s="72">
        <v>42</v>
      </c>
      <c r="G31" s="72">
        <v>108</v>
      </c>
      <c r="H31" s="176">
        <f t="shared" si="0"/>
        <v>4536</v>
      </c>
      <c r="I31" s="177">
        <f>IF(C31=0,0,VLOOKUP(C31,Paramètres!$C$5:$H$42,3,FALSE))</f>
        <v>41.04</v>
      </c>
      <c r="J31" s="177">
        <f>IF(C31=0,0,VLOOKUP(C31,Paramètres!$C$5:$H$42,4,FALSE))</f>
        <v>51.4</v>
      </c>
      <c r="K31" s="73">
        <f>IF(C31=0,0,VLOOKUP(C31,Paramètres!$C$5:$H$42,5,FALSE))</f>
        <v>48</v>
      </c>
      <c r="L31" s="103">
        <f>H31*K31</f>
        <v>217728</v>
      </c>
      <c r="M31" s="4">
        <f>IF(C31=0,0,VLOOKUP(C31,Paramètres!$C$5:$H$42,2,FALSE))</f>
        <v>25</v>
      </c>
      <c r="N31" s="11">
        <f t="shared" si="2"/>
        <v>1</v>
      </c>
      <c r="O31" s="88"/>
      <c r="P31" s="55"/>
      <c r="Q31" s="103">
        <f t="shared" si="9"/>
        <v>0</v>
      </c>
      <c r="R31" s="88"/>
      <c r="S31" s="106">
        <f t="shared" si="3"/>
        <v>0</v>
      </c>
      <c r="V31" s="192">
        <f t="shared" si="4"/>
        <v>0</v>
      </c>
      <c r="W31" s="191"/>
      <c r="AC31" s="70" t="s">
        <v>97</v>
      </c>
      <c r="AD31" s="71"/>
      <c r="AE31" s="72"/>
      <c r="AF31" s="72">
        <v>42</v>
      </c>
      <c r="AG31" s="72">
        <v>108</v>
      </c>
      <c r="AH31" s="176">
        <f t="shared" si="5"/>
        <v>4536</v>
      </c>
      <c r="AI31" s="177" t="e">
        <f>IF(AC31=0,0,VLOOKUP(AC31,Paramètres!$C$5:$H$42,3,FALSE))</f>
        <v>#N/A</v>
      </c>
      <c r="AJ31" s="177" t="e">
        <f>IF(AC31=0,0,VLOOKUP(AC31,Paramètres!$C$5:$H$42,4,FALSE))</f>
        <v>#N/A</v>
      </c>
      <c r="AK31" s="73" t="e">
        <f>IF(AC31=0,0,VLOOKUP(AC31,Paramètres!$C$5:$H$42,5,FALSE))</f>
        <v>#N/A</v>
      </c>
      <c r="AL31" s="103" t="e">
        <f>AH31*AK31</f>
        <v>#N/A</v>
      </c>
      <c r="AM31" s="4" t="e">
        <f>IF(AC31=0,0,VLOOKUP(AC31,Paramètres!$C$5:$H$42,2,FALSE))</f>
        <v>#N/A</v>
      </c>
      <c r="AN31" s="11" t="e">
        <f t="shared" si="7"/>
        <v>#N/A</v>
      </c>
      <c r="AO31" s="88"/>
      <c r="AP31" s="55"/>
      <c r="AQ31" s="103">
        <f t="shared" si="10"/>
        <v>0</v>
      </c>
      <c r="AR31" s="88"/>
      <c r="AS31" s="106">
        <f t="shared" si="8"/>
        <v>0</v>
      </c>
    </row>
    <row r="32" spans="1:45" s="2" customFormat="1" ht="12.75" customHeight="1">
      <c r="A32" s="2" t="s">
        <v>108</v>
      </c>
      <c r="C32" s="70" t="s">
        <v>36</v>
      </c>
      <c r="D32" s="71"/>
      <c r="E32" s="72"/>
      <c r="F32" s="72"/>
      <c r="G32" s="72"/>
      <c r="H32" s="176">
        <f t="shared" si="0"/>
        <v>0</v>
      </c>
      <c r="I32" s="177">
        <f>IF(C32=0,0,VLOOKUP(C32,Paramètres!$C$5:$H$42,3,FALSE))</f>
        <v>52.3</v>
      </c>
      <c r="J32" s="177">
        <f>IF(C32=0,0,VLOOKUP(C32,Paramètres!$C$5:$H$42,4,FALSE))</f>
        <v>60.4</v>
      </c>
      <c r="K32" s="74">
        <f>IF(C32=0,0,VLOOKUP(C32,Paramètres!$C$5:$H$42,5,FALSE))</f>
        <v>57</v>
      </c>
      <c r="L32" s="103">
        <f>H32*K32</f>
        <v>0</v>
      </c>
      <c r="M32" s="4">
        <f>IF(C32=0,0,VLOOKUP(C32,Paramètres!$C$5:$H$42,2,FALSE))</f>
        <v>25</v>
      </c>
      <c r="N32" s="11">
        <f t="shared" si="2"/>
        <v>1</v>
      </c>
      <c r="O32" s="88"/>
      <c r="P32" s="55"/>
      <c r="Q32" s="103">
        <f t="shared" si="9"/>
        <v>0</v>
      </c>
      <c r="R32" s="88"/>
      <c r="S32" s="106">
        <f t="shared" si="3"/>
        <v>0</v>
      </c>
      <c r="V32" s="192">
        <f t="shared" si="4"/>
        <v>0</v>
      </c>
      <c r="W32" s="191"/>
      <c r="AC32" s="70" t="s">
        <v>36</v>
      </c>
      <c r="AD32" s="71"/>
      <c r="AE32" s="72"/>
      <c r="AF32" s="72"/>
      <c r="AG32" s="72"/>
      <c r="AH32" s="176">
        <f t="shared" si="5"/>
        <v>0</v>
      </c>
      <c r="AI32" s="177">
        <f>IF(AC32=0,0,VLOOKUP(AC32,Paramètres!$C$5:$H$42,3,FALSE))</f>
        <v>52.3</v>
      </c>
      <c r="AJ32" s="177">
        <f>IF(AC32=0,0,VLOOKUP(AC32,Paramètres!$C$5:$H$42,4,FALSE))</f>
        <v>60.4</v>
      </c>
      <c r="AK32" s="74">
        <f>IF(AC32=0,0,VLOOKUP(AC32,Paramètres!$C$5:$H$42,5,FALSE))</f>
        <v>57</v>
      </c>
      <c r="AL32" s="103">
        <f>AH32*AK32</f>
        <v>0</v>
      </c>
      <c r="AM32" s="4">
        <f>IF(AC32=0,0,VLOOKUP(AC32,Paramètres!$C$5:$H$42,2,FALSE))</f>
        <v>25</v>
      </c>
      <c r="AN32" s="11">
        <f t="shared" si="7"/>
        <v>1</v>
      </c>
      <c r="AO32" s="88"/>
      <c r="AP32" s="55"/>
      <c r="AQ32" s="103">
        <f t="shared" si="10"/>
        <v>0</v>
      </c>
      <c r="AR32" s="88"/>
      <c r="AS32" s="106">
        <f t="shared" si="8"/>
        <v>0</v>
      </c>
    </row>
    <row r="33" spans="1:45" s="2" customFormat="1" ht="12.75" customHeight="1">
      <c r="A33" s="2" t="s">
        <v>108</v>
      </c>
      <c r="C33" s="70" t="s">
        <v>98</v>
      </c>
      <c r="D33" s="71"/>
      <c r="E33" s="72"/>
      <c r="F33" s="72">
        <v>44</v>
      </c>
      <c r="G33" s="72">
        <v>150</v>
      </c>
      <c r="H33" s="176">
        <f t="shared" si="0"/>
        <v>6600</v>
      </c>
      <c r="I33" s="177">
        <f>IF(C33=0,0,VLOOKUP(C33,Paramètres!$C$5:$H$42,3,FALSE))</f>
        <v>32.24</v>
      </c>
      <c r="J33" s="177">
        <f>IF(C33=0,0,VLOOKUP(C33,Paramètres!$C$5:$H$42,4,FALSE))</f>
        <v>40.720000000000006</v>
      </c>
      <c r="K33" s="73">
        <f>IF(C33=0,0,VLOOKUP(C33,Paramètres!$C$5:$H$42,5,FALSE))</f>
        <v>35.36</v>
      </c>
      <c r="L33" s="103">
        <f>H33*K33</f>
        <v>233376</v>
      </c>
      <c r="M33" s="4">
        <f>IF(C33=0,0,VLOOKUP(C33,Paramètres!$C$5:$H$42,2,FALSE))</f>
        <v>25</v>
      </c>
      <c r="N33" s="11">
        <f t="shared" si="2"/>
        <v>1</v>
      </c>
      <c r="O33" s="88"/>
      <c r="P33" s="55"/>
      <c r="Q33" s="103">
        <f t="shared" si="9"/>
        <v>0</v>
      </c>
      <c r="R33" s="88"/>
      <c r="S33" s="106">
        <f t="shared" si="3"/>
        <v>0</v>
      </c>
      <c r="V33" s="192">
        <f t="shared" si="4"/>
        <v>0</v>
      </c>
      <c r="W33" s="191"/>
      <c r="AC33" s="70" t="s">
        <v>98</v>
      </c>
      <c r="AD33" s="71"/>
      <c r="AE33" s="72"/>
      <c r="AF33" s="72">
        <v>44</v>
      </c>
      <c r="AG33" s="72">
        <v>150</v>
      </c>
      <c r="AH33" s="176">
        <f t="shared" si="5"/>
        <v>6600</v>
      </c>
      <c r="AI33" s="177">
        <f>IF(AC33=0,0,VLOOKUP(AC33,Paramètres!$C$5:$H$42,3,FALSE))</f>
        <v>32.24</v>
      </c>
      <c r="AJ33" s="177">
        <f>IF(AC33=0,0,VLOOKUP(AC33,Paramètres!$C$5:$H$42,4,FALSE))</f>
        <v>40.720000000000006</v>
      </c>
      <c r="AK33" s="73">
        <f>IF(AC33=0,0,VLOOKUP(AC33,Paramètres!$C$5:$H$42,5,FALSE))</f>
        <v>35.36</v>
      </c>
      <c r="AL33" s="103">
        <f>AH33*AK33</f>
        <v>233376</v>
      </c>
      <c r="AM33" s="4">
        <f>IF(AC33=0,0,VLOOKUP(AC33,Paramètres!$C$5:$H$42,2,FALSE))</f>
        <v>25</v>
      </c>
      <c r="AN33" s="11">
        <f t="shared" si="7"/>
        <v>1</v>
      </c>
      <c r="AO33" s="88"/>
      <c r="AP33" s="55"/>
      <c r="AQ33" s="103">
        <f t="shared" si="10"/>
        <v>0</v>
      </c>
      <c r="AR33" s="88"/>
      <c r="AS33" s="106">
        <f t="shared" si="8"/>
        <v>0</v>
      </c>
    </row>
    <row r="34" spans="1:45" s="2" customFormat="1" ht="12.75" customHeight="1">
      <c r="A34" s="2" t="s">
        <v>108</v>
      </c>
      <c r="C34" s="70" t="s">
        <v>99</v>
      </c>
      <c r="D34" s="71"/>
      <c r="E34" s="72"/>
      <c r="F34" s="72">
        <v>44</v>
      </c>
      <c r="G34" s="72">
        <v>150</v>
      </c>
      <c r="H34" s="176">
        <f t="shared" si="0"/>
        <v>6600</v>
      </c>
      <c r="I34" s="177">
        <f>IF(C34=0,0,VLOOKUP(C34,Paramètres!$C$5:$H$42,3,FALSE))</f>
        <v>21.84</v>
      </c>
      <c r="J34" s="177">
        <f>IF(C34=0,0,VLOOKUP(C34,Paramètres!$C$5:$H$42,4,FALSE))</f>
        <v>24.08</v>
      </c>
      <c r="K34" s="73">
        <f>IF(C34=0,0,VLOOKUP(C34,Paramètres!$C$5:$H$42,5,FALSE))</f>
        <v>22.88</v>
      </c>
      <c r="L34" s="103">
        <f>H34*K34</f>
        <v>151008</v>
      </c>
      <c r="M34" s="4">
        <f>IF(C34=0,0,VLOOKUP(C34,Paramètres!$C$5:$H$42,2,FALSE))</f>
        <v>25</v>
      </c>
      <c r="N34" s="11">
        <f t="shared" si="2"/>
        <v>1</v>
      </c>
      <c r="O34" s="88"/>
      <c r="P34" s="55"/>
      <c r="Q34" s="103">
        <f t="shared" si="9"/>
        <v>0</v>
      </c>
      <c r="R34" s="88"/>
      <c r="S34" s="106">
        <f t="shared" si="3"/>
        <v>0</v>
      </c>
      <c r="V34" s="192">
        <f t="shared" si="4"/>
        <v>0</v>
      </c>
      <c r="W34" s="191"/>
      <c r="AC34" s="70" t="s">
        <v>99</v>
      </c>
      <c r="AD34" s="71"/>
      <c r="AE34" s="72"/>
      <c r="AF34" s="72">
        <v>44</v>
      </c>
      <c r="AG34" s="72">
        <v>150</v>
      </c>
      <c r="AH34" s="176">
        <f t="shared" si="5"/>
        <v>6600</v>
      </c>
      <c r="AI34" s="177">
        <f>IF(AC34=0,0,VLOOKUP(AC34,Paramètres!$C$5:$H$42,3,FALSE))</f>
        <v>21.84</v>
      </c>
      <c r="AJ34" s="177">
        <f>IF(AC34=0,0,VLOOKUP(AC34,Paramètres!$C$5:$H$42,4,FALSE))</f>
        <v>24.08</v>
      </c>
      <c r="AK34" s="73">
        <f>IF(AC34=0,0,VLOOKUP(AC34,Paramètres!$C$5:$H$42,5,FALSE))</f>
        <v>22.88</v>
      </c>
      <c r="AL34" s="103">
        <f>AH34*AK34</f>
        <v>151008</v>
      </c>
      <c r="AM34" s="4">
        <f>IF(AC34=0,0,VLOOKUP(AC34,Paramètres!$C$5:$H$42,2,FALSE))</f>
        <v>25</v>
      </c>
      <c r="AN34" s="11">
        <f t="shared" si="7"/>
        <v>1</v>
      </c>
      <c r="AO34" s="88"/>
      <c r="AP34" s="55"/>
      <c r="AQ34" s="103">
        <f t="shared" si="10"/>
        <v>0</v>
      </c>
      <c r="AR34" s="88"/>
      <c r="AS34" s="106">
        <f t="shared" si="8"/>
        <v>0</v>
      </c>
    </row>
    <row r="35" spans="1:45" s="2" customFormat="1" ht="20.25" customHeight="1" thickBot="1">
      <c r="A35" s="2" t="s">
        <v>108</v>
      </c>
      <c r="C35" s="124" t="s">
        <v>9</v>
      </c>
      <c r="D35" s="125"/>
      <c r="E35" s="126"/>
      <c r="F35" s="127"/>
      <c r="G35" s="127"/>
      <c r="H35" s="128"/>
      <c r="I35" s="128"/>
      <c r="J35" s="128"/>
      <c r="K35" s="127"/>
      <c r="L35" s="116">
        <f>$V$35</f>
        <v>0</v>
      </c>
      <c r="M35" s="125"/>
      <c r="N35" s="129"/>
      <c r="O35" s="129"/>
      <c r="P35" s="130">
        <f>L35*N35*O35</f>
        <v>0</v>
      </c>
      <c r="Q35" s="116">
        <f>SUM(Q25:Q34)</f>
        <v>0</v>
      </c>
      <c r="R35" s="129"/>
      <c r="S35" s="107">
        <f>SUM(S25:S34)</f>
        <v>0</v>
      </c>
      <c r="V35" s="192">
        <f>SUM(V25:V34)</f>
        <v>0</v>
      </c>
      <c r="W35" s="191"/>
      <c r="AC35" s="124" t="s">
        <v>9</v>
      </c>
      <c r="AD35" s="125"/>
      <c r="AE35" s="126"/>
      <c r="AF35" s="127"/>
      <c r="AG35" s="127"/>
      <c r="AH35" s="128"/>
      <c r="AI35" s="128"/>
      <c r="AJ35" s="128"/>
      <c r="AK35" s="127"/>
      <c r="AL35" s="116">
        <f>$V$35</f>
        <v>0</v>
      </c>
      <c r="AM35" s="125"/>
      <c r="AN35" s="129"/>
      <c r="AO35" s="129"/>
      <c r="AP35" s="130">
        <f>AL35*AN35*AO35</f>
        <v>0</v>
      </c>
      <c r="AQ35" s="116">
        <f>SUM(AQ25:AQ34)</f>
        <v>0</v>
      </c>
      <c r="AR35" s="129"/>
      <c r="AS35" s="107">
        <f>SUM(AS25:AS34)</f>
        <v>0</v>
      </c>
    </row>
    <row r="36" spans="1:45" ht="18.75" customHeight="1" thickTop="1">
      <c r="A36" t="s">
        <v>24</v>
      </c>
      <c r="C36" s="131" t="s">
        <v>71</v>
      </c>
      <c r="D36" s="132"/>
      <c r="E36" s="133"/>
      <c r="F36" s="134"/>
      <c r="G36" s="134"/>
      <c r="H36" s="135"/>
      <c r="I36" s="231" t="s">
        <v>110</v>
      </c>
      <c r="J36" s="231"/>
      <c r="K36" s="134"/>
      <c r="L36" s="117"/>
      <c r="M36" s="136"/>
      <c r="N36" s="134"/>
      <c r="O36" s="134"/>
      <c r="P36" s="117"/>
      <c r="Q36" s="117"/>
      <c r="R36" s="134"/>
      <c r="S36" s="233" t="s">
        <v>125</v>
      </c>
      <c r="V36" s="192"/>
      <c r="W36" s="192"/>
      <c r="AC36" s="131" t="s">
        <v>71</v>
      </c>
      <c r="AD36" s="132"/>
      <c r="AE36" s="133"/>
      <c r="AF36" s="134"/>
      <c r="AG36" s="134"/>
      <c r="AH36" s="135"/>
      <c r="AI36" s="231" t="s">
        <v>110</v>
      </c>
      <c r="AJ36" s="231"/>
      <c r="AK36" s="134"/>
      <c r="AL36" s="117"/>
      <c r="AM36" s="136"/>
      <c r="AN36" s="134"/>
      <c r="AO36" s="134"/>
      <c r="AP36" s="117"/>
      <c r="AQ36" s="117"/>
      <c r="AR36" s="134"/>
      <c r="AS36" s="233" t="s">
        <v>125</v>
      </c>
    </row>
    <row r="37" spans="1:45" ht="30.75" customHeight="1">
      <c r="A37" t="s">
        <v>24</v>
      </c>
      <c r="C37" s="137"/>
      <c r="D37" s="97" t="s">
        <v>23</v>
      </c>
      <c r="E37" s="99" t="s">
        <v>18</v>
      </c>
      <c r="F37" s="84" t="s">
        <v>123</v>
      </c>
      <c r="G37" s="84" t="s">
        <v>124</v>
      </c>
      <c r="H37" s="84" t="s">
        <v>44</v>
      </c>
      <c r="I37" s="232"/>
      <c r="J37" s="232"/>
      <c r="K37" s="99" t="s">
        <v>88</v>
      </c>
      <c r="L37" s="84" t="s">
        <v>0</v>
      </c>
      <c r="M37" s="84" t="s">
        <v>19</v>
      </c>
      <c r="N37" s="84" t="s">
        <v>6</v>
      </c>
      <c r="O37" s="99" t="s">
        <v>10</v>
      </c>
      <c r="P37" s="84" t="s">
        <v>4</v>
      </c>
      <c r="Q37" s="84" t="s">
        <v>8</v>
      </c>
      <c r="R37" s="98" t="s">
        <v>128</v>
      </c>
      <c r="S37" s="230"/>
      <c r="V37" s="192"/>
      <c r="W37" s="192"/>
      <c r="AC37" s="137"/>
      <c r="AD37" s="97" t="s">
        <v>23</v>
      </c>
      <c r="AE37" s="99" t="s">
        <v>18</v>
      </c>
      <c r="AF37" s="84" t="s">
        <v>123</v>
      </c>
      <c r="AG37" s="84" t="s">
        <v>124</v>
      </c>
      <c r="AH37" s="84" t="s">
        <v>44</v>
      </c>
      <c r="AI37" s="232"/>
      <c r="AJ37" s="232"/>
      <c r="AK37" s="99" t="s">
        <v>88</v>
      </c>
      <c r="AL37" s="84" t="s">
        <v>0</v>
      </c>
      <c r="AM37" s="84" t="s">
        <v>19</v>
      </c>
      <c r="AN37" s="84" t="s">
        <v>6</v>
      </c>
      <c r="AO37" s="99" t="s">
        <v>10</v>
      </c>
      <c r="AP37" s="84" t="s">
        <v>4</v>
      </c>
      <c r="AQ37" s="84" t="s">
        <v>8</v>
      </c>
      <c r="AR37" s="98" t="s">
        <v>128</v>
      </c>
      <c r="AS37" s="230"/>
    </row>
    <row r="38" spans="1:45" ht="12.75" customHeight="1">
      <c r="A38" t="s">
        <v>24</v>
      </c>
      <c r="C38" s="75" t="s">
        <v>100</v>
      </c>
      <c r="D38" s="71"/>
      <c r="E38" s="72"/>
      <c r="F38" s="73">
        <v>40</v>
      </c>
      <c r="G38" s="73">
        <v>100</v>
      </c>
      <c r="H38" s="176">
        <f aca="true" t="shared" si="11" ref="H38:H45">F38*G38</f>
        <v>4000</v>
      </c>
      <c r="I38" s="177">
        <f>IF(C38=0,0,VLOOKUP(C38,Paramètres!$C$5:$H$42,3,FALSE))</f>
        <v>11.65</v>
      </c>
      <c r="J38" s="177">
        <f>IF(C38=0,0,VLOOKUP(C38,Paramètres!$C$5:$H$42,4,FALSE))</f>
        <v>17.5</v>
      </c>
      <c r="K38" s="74">
        <f>IF(C38=0,0,VLOOKUP(C38,Paramètres!$C$5:$H$42,5,FALSE))</f>
        <v>12.35</v>
      </c>
      <c r="L38" s="103">
        <f aca="true" t="shared" si="12" ref="L38:L45">H38*K38</f>
        <v>49400</v>
      </c>
      <c r="M38" s="4">
        <f>IF(C38=0,0,VLOOKUP(C38,Paramètres!$C$5:$H$42,2,FALSE))</f>
        <v>40</v>
      </c>
      <c r="N38" s="11">
        <f aca="true" t="shared" si="13" ref="N38:N45">IF(M38=40,POWER(0.95,E38),IF(M38=35,POWER(0.94,E38),IF(M38=30,POWER(0.93,E38),IF(M38=25,POWER(0.91,E38),IF(M38=20,POWER(0.89,E38),IF(M38=15,POWER(0.87,E38),IF(M38=10,POWER(0.8,E38),0)))))))</f>
        <v>1</v>
      </c>
      <c r="O38" s="88"/>
      <c r="P38" s="5">
        <f aca="true" t="shared" si="14" ref="P38:P46">L38*N38*O38</f>
        <v>0</v>
      </c>
      <c r="Q38" s="103">
        <f aca="true" t="shared" si="15" ref="Q38:Q45">IF(E38=0,0,L38*N38*O38)</f>
        <v>0</v>
      </c>
      <c r="R38" s="88"/>
      <c r="S38" s="106">
        <f aca="true" t="shared" si="16" ref="S38:S45">Q38*R38</f>
        <v>0</v>
      </c>
      <c r="V38" s="192">
        <f aca="true" t="shared" si="17" ref="V38:V45">IF(Q38=0,0,L38)</f>
        <v>0</v>
      </c>
      <c r="W38" s="192"/>
      <c r="AC38" s="75" t="s">
        <v>100</v>
      </c>
      <c r="AD38" s="71"/>
      <c r="AE38" s="72"/>
      <c r="AF38" s="73">
        <v>40</v>
      </c>
      <c r="AG38" s="73">
        <v>100</v>
      </c>
      <c r="AH38" s="176">
        <f aca="true" t="shared" si="18" ref="AH38:AH45">AF38*AG38</f>
        <v>4000</v>
      </c>
      <c r="AI38" s="177">
        <f>IF(AC38=0,0,VLOOKUP(AC38,Paramètres!$C$5:$H$42,3,FALSE))</f>
        <v>11.65</v>
      </c>
      <c r="AJ38" s="177">
        <f>IF(AC38=0,0,VLOOKUP(AC38,Paramètres!$C$5:$H$42,4,FALSE))</f>
        <v>17.5</v>
      </c>
      <c r="AK38" s="74">
        <f>IF(AC38=0,0,VLOOKUP(AC38,Paramètres!$C$5:$H$42,5,FALSE))</f>
        <v>12.35</v>
      </c>
      <c r="AL38" s="103">
        <f aca="true" t="shared" si="19" ref="AL38:AL45">AH38*AK38</f>
        <v>49400</v>
      </c>
      <c r="AM38" s="4">
        <f>IF(AC38=0,0,VLOOKUP(AC38,Paramètres!$C$5:$H$42,2,FALSE))</f>
        <v>40</v>
      </c>
      <c r="AN38" s="11">
        <f aca="true" t="shared" si="20" ref="AN38:AN45">IF(AM38=40,POWER(0.95,AE38),IF(AM38=35,POWER(0.94,AE38),IF(AM38=30,POWER(0.93,AE38),IF(AM38=25,POWER(0.91,AE38),IF(AM38=20,POWER(0.89,AE38),IF(AM38=15,POWER(0.87,AE38),IF(AM38=10,POWER(0.8,AE38),0)))))))</f>
        <v>1</v>
      </c>
      <c r="AO38" s="88"/>
      <c r="AP38" s="5">
        <f aca="true" t="shared" si="21" ref="AP38:AP46">AL38*AN38*AO38</f>
        <v>0</v>
      </c>
      <c r="AQ38" s="103">
        <f aca="true" t="shared" si="22" ref="AQ38:AQ45">IF(AE38=0,0,AL38*AN38*AO38)</f>
        <v>0</v>
      </c>
      <c r="AR38" s="88"/>
      <c r="AS38" s="106">
        <f aca="true" t="shared" si="23" ref="AS38:AS45">AQ38*AR38</f>
        <v>0</v>
      </c>
    </row>
    <row r="39" spans="1:45" ht="12.75" customHeight="1">
      <c r="A39" t="s">
        <v>24</v>
      </c>
      <c r="C39" s="75" t="s">
        <v>101</v>
      </c>
      <c r="D39" s="71"/>
      <c r="E39" s="72"/>
      <c r="F39" s="73">
        <v>40</v>
      </c>
      <c r="G39" s="73">
        <v>100</v>
      </c>
      <c r="H39" s="176">
        <f t="shared" si="11"/>
        <v>4000</v>
      </c>
      <c r="I39" s="177">
        <f>IF(C39=0,0,VLOOKUP(C39,Paramètres!$C$5:$H$42,3,FALSE))</f>
        <v>9.15</v>
      </c>
      <c r="J39" s="177">
        <f>IF(C39=0,0,VLOOKUP(C39,Paramètres!$C$5:$H$42,4,FALSE))</f>
        <v>15</v>
      </c>
      <c r="K39" s="74">
        <f>IF(C39=0,0,VLOOKUP(C39,Paramètres!$C$5:$H$42,5,FALSE))</f>
        <v>9.85</v>
      </c>
      <c r="L39" s="103">
        <f t="shared" si="12"/>
        <v>39400</v>
      </c>
      <c r="M39" s="4">
        <f>IF(C39=0,0,VLOOKUP(C39,Paramètres!$C$5:$H$42,2,FALSE))</f>
        <v>35</v>
      </c>
      <c r="N39" s="11">
        <f t="shared" si="13"/>
        <v>1</v>
      </c>
      <c r="O39" s="88"/>
      <c r="P39" s="5">
        <f t="shared" si="14"/>
        <v>0</v>
      </c>
      <c r="Q39" s="103">
        <f t="shared" si="15"/>
        <v>0</v>
      </c>
      <c r="R39" s="88"/>
      <c r="S39" s="106">
        <f t="shared" si="16"/>
        <v>0</v>
      </c>
      <c r="V39" s="192">
        <f t="shared" si="17"/>
        <v>0</v>
      </c>
      <c r="W39" s="192"/>
      <c r="AC39" s="75" t="s">
        <v>101</v>
      </c>
      <c r="AD39" s="71"/>
      <c r="AE39" s="72"/>
      <c r="AF39" s="73">
        <v>40</v>
      </c>
      <c r="AG39" s="73">
        <v>100</v>
      </c>
      <c r="AH39" s="176">
        <f t="shared" si="18"/>
        <v>4000</v>
      </c>
      <c r="AI39" s="177">
        <f>IF(AC39=0,0,VLOOKUP(AC39,Paramètres!$C$5:$H$42,3,FALSE))</f>
        <v>9.15</v>
      </c>
      <c r="AJ39" s="177">
        <f>IF(AC39=0,0,VLOOKUP(AC39,Paramètres!$C$5:$H$42,4,FALSE))</f>
        <v>15</v>
      </c>
      <c r="AK39" s="74">
        <f>IF(AC39=0,0,VLOOKUP(AC39,Paramètres!$C$5:$H$42,5,FALSE))</f>
        <v>9.85</v>
      </c>
      <c r="AL39" s="103">
        <f t="shared" si="19"/>
        <v>39400</v>
      </c>
      <c r="AM39" s="4">
        <f>IF(AC39=0,0,VLOOKUP(AC39,Paramètres!$C$5:$H$42,2,FALSE))</f>
        <v>35</v>
      </c>
      <c r="AN39" s="11">
        <f t="shared" si="20"/>
        <v>1</v>
      </c>
      <c r="AO39" s="88"/>
      <c r="AP39" s="5">
        <f t="shared" si="21"/>
        <v>0</v>
      </c>
      <c r="AQ39" s="103">
        <f t="shared" si="22"/>
        <v>0</v>
      </c>
      <c r="AR39" s="88"/>
      <c r="AS39" s="106">
        <f t="shared" si="23"/>
        <v>0</v>
      </c>
    </row>
    <row r="40" spans="1:45" ht="12.75" customHeight="1">
      <c r="A40" t="s">
        <v>24</v>
      </c>
      <c r="C40" s="75" t="s">
        <v>69</v>
      </c>
      <c r="D40" s="71"/>
      <c r="E40" s="72"/>
      <c r="F40" s="73">
        <v>40</v>
      </c>
      <c r="G40" s="73">
        <v>43</v>
      </c>
      <c r="H40" s="176">
        <f t="shared" si="11"/>
        <v>1720</v>
      </c>
      <c r="I40" s="177">
        <f>IF(C40=0,0,VLOOKUP(C40,Paramètres!$C$5:$H$42,3,FALSE))</f>
        <v>30.349999999999998</v>
      </c>
      <c r="J40" s="177">
        <f>IF(C40=0,0,VLOOKUP(C40,Paramètres!$C$5:$H$42,4,FALSE))</f>
        <v>38.57</v>
      </c>
      <c r="K40" s="74">
        <f>IF(C40=0,0,VLOOKUP(C40,Paramètres!$C$5:$H$42,5,FALSE))</f>
        <v>30.65</v>
      </c>
      <c r="L40" s="103">
        <f t="shared" si="12"/>
        <v>52718</v>
      </c>
      <c r="M40" s="4">
        <f>IF(C40=0,0,VLOOKUP(C40,Paramètres!$C$5:$H$42,2,FALSE))</f>
        <v>35</v>
      </c>
      <c r="N40" s="11">
        <f t="shared" si="13"/>
        <v>1</v>
      </c>
      <c r="O40" s="88"/>
      <c r="P40" s="5">
        <f t="shared" si="14"/>
        <v>0</v>
      </c>
      <c r="Q40" s="103">
        <f t="shared" si="15"/>
        <v>0</v>
      </c>
      <c r="R40" s="88"/>
      <c r="S40" s="106">
        <f t="shared" si="16"/>
        <v>0</v>
      </c>
      <c r="V40" s="192">
        <f t="shared" si="17"/>
        <v>0</v>
      </c>
      <c r="W40" s="192"/>
      <c r="AC40" s="75" t="s">
        <v>69</v>
      </c>
      <c r="AD40" s="71"/>
      <c r="AE40" s="72"/>
      <c r="AF40" s="73">
        <v>40</v>
      </c>
      <c r="AG40" s="73">
        <v>43</v>
      </c>
      <c r="AH40" s="176">
        <f t="shared" si="18"/>
        <v>1720</v>
      </c>
      <c r="AI40" s="177">
        <f>IF(AC40=0,0,VLOOKUP(AC40,Paramètres!$C$5:$H$42,3,FALSE))</f>
        <v>30.349999999999998</v>
      </c>
      <c r="AJ40" s="177">
        <f>IF(AC40=0,0,VLOOKUP(AC40,Paramètres!$C$5:$H$42,4,FALSE))</f>
        <v>38.57</v>
      </c>
      <c r="AK40" s="74">
        <f>IF(AC40=0,0,VLOOKUP(AC40,Paramètres!$C$5:$H$42,5,FALSE))</f>
        <v>30.65</v>
      </c>
      <c r="AL40" s="103">
        <f t="shared" si="19"/>
        <v>52718</v>
      </c>
      <c r="AM40" s="4">
        <f>IF(AC40=0,0,VLOOKUP(AC40,Paramètres!$C$5:$H$42,2,FALSE))</f>
        <v>35</v>
      </c>
      <c r="AN40" s="11">
        <f t="shared" si="20"/>
        <v>1</v>
      </c>
      <c r="AO40" s="88"/>
      <c r="AP40" s="5">
        <f t="shared" si="21"/>
        <v>0</v>
      </c>
      <c r="AQ40" s="103">
        <f t="shared" si="22"/>
        <v>0</v>
      </c>
      <c r="AR40" s="88"/>
      <c r="AS40" s="106">
        <f t="shared" si="23"/>
        <v>0</v>
      </c>
    </row>
    <row r="41" spans="1:45" ht="12.75" customHeight="1">
      <c r="A41" t="s">
        <v>24</v>
      </c>
      <c r="C41" s="75"/>
      <c r="D41" s="71"/>
      <c r="E41" s="72"/>
      <c r="F41" s="73"/>
      <c r="G41" s="73"/>
      <c r="H41" s="176">
        <f t="shared" si="11"/>
        <v>0</v>
      </c>
      <c r="I41" s="177">
        <f>IF(C41=0,0,VLOOKUP(C41,Paramètres!$C$5:$H$42,3,FALSE))</f>
        <v>0</v>
      </c>
      <c r="J41" s="177">
        <f>IF(C41=0,0,VLOOKUP(C41,Paramètres!$C$5:$H$42,4,FALSE))</f>
        <v>0</v>
      </c>
      <c r="K41" s="74">
        <f>IF(C41=0,0,VLOOKUP(C41,Paramètres!$C$5:$H$42,5,FALSE))</f>
        <v>0</v>
      </c>
      <c r="L41" s="103">
        <f t="shared" si="12"/>
        <v>0</v>
      </c>
      <c r="M41" s="4">
        <f>IF(C41=0,0,VLOOKUP(C41,Paramètres!$C$5:$H$42,2,FALSE))</f>
        <v>0</v>
      </c>
      <c r="N41" s="11">
        <f t="shared" si="13"/>
        <v>0</v>
      </c>
      <c r="O41" s="88"/>
      <c r="P41" s="5">
        <f t="shared" si="14"/>
        <v>0</v>
      </c>
      <c r="Q41" s="103">
        <f t="shared" si="15"/>
        <v>0</v>
      </c>
      <c r="R41" s="88"/>
      <c r="S41" s="106">
        <f t="shared" si="16"/>
        <v>0</v>
      </c>
      <c r="V41" s="192">
        <f t="shared" si="17"/>
        <v>0</v>
      </c>
      <c r="W41" s="192"/>
      <c r="AC41" s="75"/>
      <c r="AD41" s="71"/>
      <c r="AE41" s="72"/>
      <c r="AF41" s="73"/>
      <c r="AG41" s="73"/>
      <c r="AH41" s="176">
        <f t="shared" si="18"/>
        <v>0</v>
      </c>
      <c r="AI41" s="177">
        <f>IF(AC41=0,0,VLOOKUP(AC41,Paramètres!$C$5:$H$42,3,FALSE))</f>
        <v>0</v>
      </c>
      <c r="AJ41" s="177">
        <f>IF(AC41=0,0,VLOOKUP(AC41,Paramètres!$C$5:$H$42,4,FALSE))</f>
        <v>0</v>
      </c>
      <c r="AK41" s="74">
        <f>IF(AC41=0,0,VLOOKUP(AC41,Paramètres!$C$5:$H$42,5,FALSE))</f>
        <v>0</v>
      </c>
      <c r="AL41" s="103">
        <f t="shared" si="19"/>
        <v>0</v>
      </c>
      <c r="AM41" s="4">
        <f>IF(AC41=0,0,VLOOKUP(AC41,Paramètres!$C$5:$H$42,2,FALSE))</f>
        <v>0</v>
      </c>
      <c r="AN41" s="11">
        <f t="shared" si="20"/>
        <v>0</v>
      </c>
      <c r="AO41" s="88"/>
      <c r="AP41" s="5">
        <f t="shared" si="21"/>
        <v>0</v>
      </c>
      <c r="AQ41" s="103">
        <f t="shared" si="22"/>
        <v>0</v>
      </c>
      <c r="AR41" s="88"/>
      <c r="AS41" s="106">
        <f t="shared" si="23"/>
        <v>0</v>
      </c>
    </row>
    <row r="42" spans="1:45" ht="12.75" customHeight="1">
      <c r="A42" t="s">
        <v>24</v>
      </c>
      <c r="C42" s="75"/>
      <c r="D42" s="71"/>
      <c r="E42" s="72"/>
      <c r="F42" s="73"/>
      <c r="G42" s="73"/>
      <c r="H42" s="176">
        <f t="shared" si="11"/>
        <v>0</v>
      </c>
      <c r="I42" s="177">
        <f>IF(C42=0,0,VLOOKUP(C42,Paramètres!$C$5:$H$42,3,FALSE))</f>
        <v>0</v>
      </c>
      <c r="J42" s="177">
        <f>IF(C42=0,0,VLOOKUP(C42,Paramètres!$C$5:$H$42,4,FALSE))</f>
        <v>0</v>
      </c>
      <c r="K42" s="74">
        <f>IF(C42=0,0,VLOOKUP(C42,Paramètres!$C$5:$H$42,5,FALSE))</f>
        <v>0</v>
      </c>
      <c r="L42" s="103">
        <f t="shared" si="12"/>
        <v>0</v>
      </c>
      <c r="M42" s="4">
        <f>IF(C42=0,0,VLOOKUP(C42,Paramètres!$C$5:$H$42,2,FALSE))</f>
        <v>0</v>
      </c>
      <c r="N42" s="11">
        <f t="shared" si="13"/>
        <v>0</v>
      </c>
      <c r="O42" s="88"/>
      <c r="P42" s="5">
        <f t="shared" si="14"/>
        <v>0</v>
      </c>
      <c r="Q42" s="103">
        <f t="shared" si="15"/>
        <v>0</v>
      </c>
      <c r="R42" s="88"/>
      <c r="S42" s="106">
        <f t="shared" si="16"/>
        <v>0</v>
      </c>
      <c r="V42" s="192">
        <f t="shared" si="17"/>
        <v>0</v>
      </c>
      <c r="W42" s="192"/>
      <c r="AC42" s="75"/>
      <c r="AD42" s="71"/>
      <c r="AE42" s="72"/>
      <c r="AF42" s="73"/>
      <c r="AG42" s="73"/>
      <c r="AH42" s="176">
        <f t="shared" si="18"/>
        <v>0</v>
      </c>
      <c r="AI42" s="177">
        <f>IF(AC42=0,0,VLOOKUP(AC42,Paramètres!$C$5:$H$42,3,FALSE))</f>
        <v>0</v>
      </c>
      <c r="AJ42" s="177">
        <f>IF(AC42=0,0,VLOOKUP(AC42,Paramètres!$C$5:$H$42,4,FALSE))</f>
        <v>0</v>
      </c>
      <c r="AK42" s="74">
        <f>IF(AC42=0,0,VLOOKUP(AC42,Paramètres!$C$5:$H$42,5,FALSE))</f>
        <v>0</v>
      </c>
      <c r="AL42" s="103">
        <f t="shared" si="19"/>
        <v>0</v>
      </c>
      <c r="AM42" s="4">
        <f>IF(AC42=0,0,VLOOKUP(AC42,Paramètres!$C$5:$H$42,2,FALSE))</f>
        <v>0</v>
      </c>
      <c r="AN42" s="11">
        <f t="shared" si="20"/>
        <v>0</v>
      </c>
      <c r="AO42" s="88"/>
      <c r="AP42" s="5">
        <f t="shared" si="21"/>
        <v>0</v>
      </c>
      <c r="AQ42" s="103">
        <f t="shared" si="22"/>
        <v>0</v>
      </c>
      <c r="AR42" s="88"/>
      <c r="AS42" s="106">
        <f t="shared" si="23"/>
        <v>0</v>
      </c>
    </row>
    <row r="43" spans="1:45" ht="12.75" customHeight="1">
      <c r="A43" t="s">
        <v>24</v>
      </c>
      <c r="C43" s="75"/>
      <c r="D43" s="71"/>
      <c r="E43" s="72"/>
      <c r="F43" s="73"/>
      <c r="G43" s="73"/>
      <c r="H43" s="176">
        <f t="shared" si="11"/>
        <v>0</v>
      </c>
      <c r="I43" s="177">
        <f>IF(C43=0,0,VLOOKUP(C43,Paramètres!$C$5:$H$42,3,FALSE))</f>
        <v>0</v>
      </c>
      <c r="J43" s="177">
        <f>IF(C43=0,0,VLOOKUP(C43,Paramètres!$C$5:$H$42,4,FALSE))</f>
        <v>0</v>
      </c>
      <c r="K43" s="74">
        <f>IF(C43=0,0,VLOOKUP(C43,Paramètres!$C$5:$H$42,5,FALSE))</f>
        <v>0</v>
      </c>
      <c r="L43" s="103">
        <f t="shared" si="12"/>
        <v>0</v>
      </c>
      <c r="M43" s="4">
        <f>IF(C43=0,0,VLOOKUP(C43,Paramètres!$C$5:$H$42,2,FALSE))</f>
        <v>0</v>
      </c>
      <c r="N43" s="11">
        <f t="shared" si="13"/>
        <v>0</v>
      </c>
      <c r="O43" s="88"/>
      <c r="P43" s="5">
        <f t="shared" si="14"/>
        <v>0</v>
      </c>
      <c r="Q43" s="103">
        <f t="shared" si="15"/>
        <v>0</v>
      </c>
      <c r="R43" s="88"/>
      <c r="S43" s="106">
        <f t="shared" si="16"/>
        <v>0</v>
      </c>
      <c r="V43" s="192">
        <f t="shared" si="17"/>
        <v>0</v>
      </c>
      <c r="W43" s="192"/>
      <c r="AC43" s="75"/>
      <c r="AD43" s="71"/>
      <c r="AE43" s="72"/>
      <c r="AF43" s="73"/>
      <c r="AG43" s="73"/>
      <c r="AH43" s="176">
        <f t="shared" si="18"/>
        <v>0</v>
      </c>
      <c r="AI43" s="177">
        <f>IF(AC43=0,0,VLOOKUP(AC43,Paramètres!$C$5:$H$42,3,FALSE))</f>
        <v>0</v>
      </c>
      <c r="AJ43" s="177">
        <f>IF(AC43=0,0,VLOOKUP(AC43,Paramètres!$C$5:$H$42,4,FALSE))</f>
        <v>0</v>
      </c>
      <c r="AK43" s="74">
        <f>IF(AC43=0,0,VLOOKUP(AC43,Paramètres!$C$5:$H$42,5,FALSE))</f>
        <v>0</v>
      </c>
      <c r="AL43" s="103">
        <f t="shared" si="19"/>
        <v>0</v>
      </c>
      <c r="AM43" s="4">
        <f>IF(AC43=0,0,VLOOKUP(AC43,Paramètres!$C$5:$H$42,2,FALSE))</f>
        <v>0</v>
      </c>
      <c r="AN43" s="11">
        <f t="shared" si="20"/>
        <v>0</v>
      </c>
      <c r="AO43" s="88"/>
      <c r="AP43" s="5">
        <f t="shared" si="21"/>
        <v>0</v>
      </c>
      <c r="AQ43" s="103">
        <f t="shared" si="22"/>
        <v>0</v>
      </c>
      <c r="AR43" s="88"/>
      <c r="AS43" s="106">
        <f t="shared" si="23"/>
        <v>0</v>
      </c>
    </row>
    <row r="44" spans="1:45" ht="12.75" customHeight="1">
      <c r="A44" s="37" t="s">
        <v>24</v>
      </c>
      <c r="B44" s="37"/>
      <c r="C44" s="75"/>
      <c r="D44" s="71"/>
      <c r="E44" s="72"/>
      <c r="F44" s="73"/>
      <c r="G44" s="73"/>
      <c r="H44" s="176">
        <f t="shared" si="11"/>
        <v>0</v>
      </c>
      <c r="I44" s="177">
        <f>IF(C44=0,0,VLOOKUP(C44,Paramètres!$C$5:$H$42,3,FALSE))</f>
        <v>0</v>
      </c>
      <c r="J44" s="177">
        <f>IF(C44=0,0,VLOOKUP(C44,Paramètres!$C$5:$H$42,4,FALSE))</f>
        <v>0</v>
      </c>
      <c r="K44" s="74">
        <f>IF(C44=0,0,VLOOKUP(C44,Paramètres!$C$5:$H$42,5,FALSE))</f>
        <v>0</v>
      </c>
      <c r="L44" s="103">
        <f t="shared" si="12"/>
        <v>0</v>
      </c>
      <c r="M44" s="4">
        <f>IF(C44=0,0,VLOOKUP(C44,Paramètres!$C$5:$H$42,2,FALSE))</f>
        <v>0</v>
      </c>
      <c r="N44" s="11">
        <f t="shared" si="13"/>
        <v>0</v>
      </c>
      <c r="O44" s="88"/>
      <c r="P44" s="5">
        <f t="shared" si="14"/>
        <v>0</v>
      </c>
      <c r="Q44" s="103">
        <f t="shared" si="15"/>
        <v>0</v>
      </c>
      <c r="R44" s="88"/>
      <c r="S44" s="106">
        <f t="shared" si="16"/>
        <v>0</v>
      </c>
      <c r="V44" s="192">
        <f t="shared" si="17"/>
        <v>0</v>
      </c>
      <c r="W44" s="192"/>
      <c r="AC44" s="75"/>
      <c r="AD44" s="71"/>
      <c r="AE44" s="72"/>
      <c r="AF44" s="73"/>
      <c r="AG44" s="73"/>
      <c r="AH44" s="176">
        <f t="shared" si="18"/>
        <v>0</v>
      </c>
      <c r="AI44" s="177">
        <f>IF(AC44=0,0,VLOOKUP(AC44,Paramètres!$C$5:$H$42,3,FALSE))</f>
        <v>0</v>
      </c>
      <c r="AJ44" s="177">
        <f>IF(AC44=0,0,VLOOKUP(AC44,Paramètres!$C$5:$H$42,4,FALSE))</f>
        <v>0</v>
      </c>
      <c r="AK44" s="74">
        <f>IF(AC44=0,0,VLOOKUP(AC44,Paramètres!$C$5:$H$42,5,FALSE))</f>
        <v>0</v>
      </c>
      <c r="AL44" s="103">
        <f t="shared" si="19"/>
        <v>0</v>
      </c>
      <c r="AM44" s="4">
        <f>IF(AC44=0,0,VLOOKUP(AC44,Paramètres!$C$5:$H$42,2,FALSE))</f>
        <v>0</v>
      </c>
      <c r="AN44" s="11">
        <f t="shared" si="20"/>
        <v>0</v>
      </c>
      <c r="AO44" s="88"/>
      <c r="AP44" s="5">
        <f t="shared" si="21"/>
        <v>0</v>
      </c>
      <c r="AQ44" s="103">
        <f t="shared" si="22"/>
        <v>0</v>
      </c>
      <c r="AR44" s="88"/>
      <c r="AS44" s="106">
        <f t="shared" si="23"/>
        <v>0</v>
      </c>
    </row>
    <row r="45" spans="1:45" ht="12.75" customHeight="1">
      <c r="A45" t="s">
        <v>24</v>
      </c>
      <c r="C45" s="75"/>
      <c r="D45" s="71"/>
      <c r="E45" s="72"/>
      <c r="F45" s="73"/>
      <c r="G45" s="73"/>
      <c r="H45" s="176">
        <f t="shared" si="11"/>
        <v>0</v>
      </c>
      <c r="I45" s="177">
        <f>IF(C45=0,0,VLOOKUP(C45,Paramètres!$C$5:$H$42,3,FALSE))</f>
        <v>0</v>
      </c>
      <c r="J45" s="177">
        <f>IF(C45=0,0,VLOOKUP(C45,Paramètres!$C$5:$H$42,4,FALSE))</f>
        <v>0</v>
      </c>
      <c r="K45" s="74">
        <f>IF(C45=0,0,VLOOKUP(C45,Paramètres!$C$5:$H$42,5,FALSE))</f>
        <v>0</v>
      </c>
      <c r="L45" s="103">
        <f t="shared" si="12"/>
        <v>0</v>
      </c>
      <c r="M45" s="4">
        <f>IF(C45=0,0,VLOOKUP(C45,Paramètres!$C$5:$H$42,2,FALSE))</f>
        <v>0</v>
      </c>
      <c r="N45" s="11">
        <f t="shared" si="13"/>
        <v>0</v>
      </c>
      <c r="O45" s="88"/>
      <c r="P45" s="5">
        <f t="shared" si="14"/>
        <v>0</v>
      </c>
      <c r="Q45" s="103">
        <f t="shared" si="15"/>
        <v>0</v>
      </c>
      <c r="R45" s="88"/>
      <c r="S45" s="106">
        <f t="shared" si="16"/>
        <v>0</v>
      </c>
      <c r="V45" s="192">
        <f t="shared" si="17"/>
        <v>0</v>
      </c>
      <c r="W45" s="192"/>
      <c r="AC45" s="75"/>
      <c r="AD45" s="71"/>
      <c r="AE45" s="72"/>
      <c r="AF45" s="73"/>
      <c r="AG45" s="73"/>
      <c r="AH45" s="176">
        <f t="shared" si="18"/>
        <v>0</v>
      </c>
      <c r="AI45" s="177">
        <f>IF(AC45=0,0,VLOOKUP(AC45,Paramètres!$C$5:$H$42,3,FALSE))</f>
        <v>0</v>
      </c>
      <c r="AJ45" s="177">
        <f>IF(AC45=0,0,VLOOKUP(AC45,Paramètres!$C$5:$H$42,4,FALSE))</f>
        <v>0</v>
      </c>
      <c r="AK45" s="74">
        <f>IF(AC45=0,0,VLOOKUP(AC45,Paramètres!$C$5:$H$42,5,FALSE))</f>
        <v>0</v>
      </c>
      <c r="AL45" s="103">
        <f t="shared" si="19"/>
        <v>0</v>
      </c>
      <c r="AM45" s="4">
        <f>IF(AC45=0,0,VLOOKUP(AC45,Paramètres!$C$5:$H$42,2,FALSE))</f>
        <v>0</v>
      </c>
      <c r="AN45" s="11">
        <f t="shared" si="20"/>
        <v>0</v>
      </c>
      <c r="AO45" s="88"/>
      <c r="AP45" s="5">
        <f t="shared" si="21"/>
        <v>0</v>
      </c>
      <c r="AQ45" s="103">
        <f t="shared" si="22"/>
        <v>0</v>
      </c>
      <c r="AR45" s="88"/>
      <c r="AS45" s="106">
        <f t="shared" si="23"/>
        <v>0</v>
      </c>
    </row>
    <row r="46" spans="1:45" ht="30.75" customHeight="1" thickBot="1">
      <c r="A46" t="s">
        <v>24</v>
      </c>
      <c r="C46" s="124" t="s">
        <v>9</v>
      </c>
      <c r="D46" s="125"/>
      <c r="E46" s="126"/>
      <c r="F46" s="127"/>
      <c r="G46" s="127"/>
      <c r="H46" s="128"/>
      <c r="I46" s="128"/>
      <c r="J46" s="128"/>
      <c r="K46" s="127"/>
      <c r="L46" s="116">
        <f>$V$46</f>
        <v>0</v>
      </c>
      <c r="M46" s="125"/>
      <c r="N46" s="129"/>
      <c r="O46" s="129"/>
      <c r="P46" s="130">
        <f t="shared" si="14"/>
        <v>0</v>
      </c>
      <c r="Q46" s="116">
        <f>SUM(Q38:Q45)</f>
        <v>0</v>
      </c>
      <c r="R46" s="129"/>
      <c r="S46" s="107">
        <f>SUM(S38:S45)</f>
        <v>0</v>
      </c>
      <c r="V46" s="192">
        <f>SUM(V38:V45)</f>
        <v>0</v>
      </c>
      <c r="W46" s="192"/>
      <c r="AC46" s="124" t="s">
        <v>9</v>
      </c>
      <c r="AD46" s="125"/>
      <c r="AE46" s="126"/>
      <c r="AF46" s="127"/>
      <c r="AG46" s="127"/>
      <c r="AH46" s="128"/>
      <c r="AI46" s="128"/>
      <c r="AJ46" s="128"/>
      <c r="AK46" s="127"/>
      <c r="AL46" s="116">
        <f>$V$46</f>
        <v>0</v>
      </c>
      <c r="AM46" s="125"/>
      <c r="AN46" s="129"/>
      <c r="AO46" s="129"/>
      <c r="AP46" s="130">
        <f t="shared" si="21"/>
        <v>0</v>
      </c>
      <c r="AQ46" s="116">
        <f>SUM(AQ38:AQ45)</f>
        <v>0</v>
      </c>
      <c r="AR46" s="129"/>
      <c r="AS46" s="107">
        <f>SUM(AS38:AS45)</f>
        <v>0</v>
      </c>
    </row>
    <row r="47" spans="1:45" ht="18.75" customHeight="1" thickTop="1">
      <c r="A47" t="s">
        <v>25</v>
      </c>
      <c r="C47" s="131" t="s">
        <v>46</v>
      </c>
      <c r="D47" s="132"/>
      <c r="E47" s="138"/>
      <c r="F47" s="123"/>
      <c r="G47" s="123"/>
      <c r="H47" s="139"/>
      <c r="I47" s="231" t="s">
        <v>111</v>
      </c>
      <c r="J47" s="231"/>
      <c r="K47" s="140"/>
      <c r="L47" s="123"/>
      <c r="M47" s="136"/>
      <c r="N47" s="141"/>
      <c r="O47" s="141"/>
      <c r="P47" s="118"/>
      <c r="Q47" s="118"/>
      <c r="R47" s="142"/>
      <c r="S47" s="229" t="s">
        <v>125</v>
      </c>
      <c r="V47" s="192"/>
      <c r="W47" s="192"/>
      <c r="AC47" s="131" t="s">
        <v>46</v>
      </c>
      <c r="AD47" s="132"/>
      <c r="AE47" s="138"/>
      <c r="AF47" s="123"/>
      <c r="AG47" s="123"/>
      <c r="AH47" s="139"/>
      <c r="AI47" s="231" t="s">
        <v>111</v>
      </c>
      <c r="AJ47" s="231"/>
      <c r="AK47" s="140"/>
      <c r="AL47" s="123"/>
      <c r="AM47" s="136"/>
      <c r="AN47" s="141"/>
      <c r="AO47" s="141"/>
      <c r="AP47" s="118"/>
      <c r="AQ47" s="118"/>
      <c r="AR47" s="142"/>
      <c r="AS47" s="229" t="s">
        <v>125</v>
      </c>
    </row>
    <row r="48" spans="1:45" ht="60">
      <c r="A48" t="s">
        <v>25</v>
      </c>
      <c r="C48" s="137"/>
      <c r="D48" s="97" t="s">
        <v>23</v>
      </c>
      <c r="E48" s="99" t="s">
        <v>18</v>
      </c>
      <c r="F48" s="84" t="s">
        <v>121</v>
      </c>
      <c r="G48" s="84" t="s">
        <v>44</v>
      </c>
      <c r="H48" s="143"/>
      <c r="I48" s="232"/>
      <c r="J48" s="232"/>
      <c r="K48" s="99" t="s">
        <v>88</v>
      </c>
      <c r="L48" s="84" t="s">
        <v>0</v>
      </c>
      <c r="M48" s="84" t="s">
        <v>19</v>
      </c>
      <c r="N48" s="84" t="s">
        <v>6</v>
      </c>
      <c r="O48" s="99" t="s">
        <v>10</v>
      </c>
      <c r="P48" s="84" t="s">
        <v>4</v>
      </c>
      <c r="Q48" s="84" t="s">
        <v>8</v>
      </c>
      <c r="R48" s="98" t="s">
        <v>128</v>
      </c>
      <c r="S48" s="230"/>
      <c r="V48" s="192"/>
      <c r="W48" s="192"/>
      <c r="AC48" s="137"/>
      <c r="AD48" s="97" t="s">
        <v>23</v>
      </c>
      <c r="AE48" s="99" t="s">
        <v>18</v>
      </c>
      <c r="AF48" s="84" t="s">
        <v>121</v>
      </c>
      <c r="AG48" s="84" t="s">
        <v>44</v>
      </c>
      <c r="AH48" s="143"/>
      <c r="AI48" s="232"/>
      <c r="AJ48" s="232"/>
      <c r="AK48" s="99" t="s">
        <v>88</v>
      </c>
      <c r="AL48" s="84" t="s">
        <v>0</v>
      </c>
      <c r="AM48" s="84" t="s">
        <v>19</v>
      </c>
      <c r="AN48" s="84" t="s">
        <v>6</v>
      </c>
      <c r="AO48" s="99" t="s">
        <v>10</v>
      </c>
      <c r="AP48" s="84" t="s">
        <v>4</v>
      </c>
      <c r="AQ48" s="84" t="s">
        <v>8</v>
      </c>
      <c r="AR48" s="98" t="s">
        <v>128</v>
      </c>
      <c r="AS48" s="230"/>
    </row>
    <row r="49" spans="1:45" ht="12.75">
      <c r="A49" t="s">
        <v>25</v>
      </c>
      <c r="C49" s="78" t="s">
        <v>133</v>
      </c>
      <c r="D49" s="71"/>
      <c r="E49" s="72"/>
      <c r="F49" s="72"/>
      <c r="G49" s="79">
        <v>6200</v>
      </c>
      <c r="H49" s="176"/>
      <c r="I49" s="178">
        <f>IF(C49=0,0,VLOOKUP(C49,Paramètres!$C$5:$H$42,3,FALSE))</f>
        <v>4.7</v>
      </c>
      <c r="J49" s="178">
        <f>IF(C49=0,0,VLOOKUP(C49,Paramètres!$C$5:$H$42,4,FALSE))</f>
        <v>5.75</v>
      </c>
      <c r="K49" s="82">
        <f>IF(C49=0,0,VLOOKUP(C49,Paramètres!$C$5:$H$42,5,FALSE))</f>
        <v>5.25</v>
      </c>
      <c r="L49" s="103">
        <f>G49*K49</f>
        <v>32550</v>
      </c>
      <c r="M49" s="4">
        <f>IF(C49=0,0,VLOOKUP(C49,Paramètres!$C$5:$H$42,2,FALSE))</f>
        <v>20</v>
      </c>
      <c r="N49" s="11">
        <f>IF(M49=40,POWER(0.95,E49),IF(M49=35,POWER(0.94,E49),IF(M49=30,POWER(0.93,E49),IF(M49=25,POWER(0.91,E49),IF(M49=20,POWER(0.89,E49),IF(M49=15,POWER(0.87,E49),IF(M49=10,POWER(0.8,E49),0)))))))</f>
        <v>1</v>
      </c>
      <c r="O49" s="88"/>
      <c r="P49" s="5">
        <f>L49*N49*O49</f>
        <v>0</v>
      </c>
      <c r="Q49" s="103">
        <f>IF(E49=0,0,L49*N49*O49)</f>
        <v>0</v>
      </c>
      <c r="R49" s="88"/>
      <c r="S49" s="106">
        <f>Q49*R49</f>
        <v>0</v>
      </c>
      <c r="V49" s="192">
        <f>IF(Q49=0,0,L49)</f>
        <v>0</v>
      </c>
      <c r="W49" s="192"/>
      <c r="AC49" s="78" t="s">
        <v>133</v>
      </c>
      <c r="AD49" s="71"/>
      <c r="AE49" s="72"/>
      <c r="AF49" s="72"/>
      <c r="AG49" s="79">
        <v>6200</v>
      </c>
      <c r="AH49" s="176"/>
      <c r="AI49" s="178">
        <f>IF(AC49=0,0,VLOOKUP(AC49,Paramètres!$C$5:$H$42,3,FALSE))</f>
        <v>4.7</v>
      </c>
      <c r="AJ49" s="178">
        <f>IF(AC49=0,0,VLOOKUP(AC49,Paramètres!$C$5:$H$42,4,FALSE))</f>
        <v>5.75</v>
      </c>
      <c r="AK49" s="82">
        <f>IF(AC49=0,0,VLOOKUP(AC49,Paramètres!$C$5:$H$42,5,FALSE))</f>
        <v>5.25</v>
      </c>
      <c r="AL49" s="103">
        <f>AG49*AK49</f>
        <v>32550</v>
      </c>
      <c r="AM49" s="4">
        <f>IF(AC49=0,0,VLOOKUP(AC49,Paramètres!$C$5:$H$42,2,FALSE))</f>
        <v>20</v>
      </c>
      <c r="AN49" s="11">
        <f>IF(AM49=40,POWER(0.95,AE49),IF(AM49=35,POWER(0.94,AE49),IF(AM49=30,POWER(0.93,AE49),IF(AM49=25,POWER(0.91,AE49),IF(AM49=20,POWER(0.89,AE49),IF(AM49=15,POWER(0.87,AE49),IF(AM49=10,POWER(0.8,AE49),0)))))))</f>
        <v>1</v>
      </c>
      <c r="AO49" s="88"/>
      <c r="AP49" s="5">
        <f>AL49*AN49*AO49</f>
        <v>0</v>
      </c>
      <c r="AQ49" s="103">
        <f>IF(AE49=0,0,AL49*AN49*AO49)</f>
        <v>0</v>
      </c>
      <c r="AR49" s="88"/>
      <c r="AS49" s="106">
        <f>AQ49*AR49</f>
        <v>0</v>
      </c>
    </row>
    <row r="50" spans="1:45" ht="12.75">
      <c r="A50" t="s">
        <v>25</v>
      </c>
      <c r="C50" s="78" t="s">
        <v>49</v>
      </c>
      <c r="D50" s="80"/>
      <c r="E50" s="72"/>
      <c r="F50" s="72" t="s">
        <v>52</v>
      </c>
      <c r="G50" s="81">
        <v>7500</v>
      </c>
      <c r="H50" s="176"/>
      <c r="I50" s="178">
        <f>IF(C50=0,0,VLOOKUP(C50,Paramètres!$C$5:$H$42,3,FALSE))</f>
        <v>8.6</v>
      </c>
      <c r="J50" s="178">
        <f>IF(C50=0,0,VLOOKUP(C50,Paramètres!$C$5:$H$42,4,FALSE))</f>
        <v>12.05</v>
      </c>
      <c r="K50" s="82">
        <f>IF(C50=0,0,VLOOKUP(C50,Paramètres!$C$5:$H$42,5,FALSE))</f>
        <v>10.325</v>
      </c>
      <c r="L50" s="103">
        <f>G50*K50</f>
        <v>77437.5</v>
      </c>
      <c r="M50" s="4">
        <f>IF(C50=0,0,VLOOKUP(C50,Paramètres!$C$5:$H$42,2,FALSE))</f>
        <v>20</v>
      </c>
      <c r="N50" s="11">
        <f>IF(M50=40,POWER(0.95,E50),IF(M50=35,POWER(0.94,E50),IF(M50=30,POWER(0.93,E50),IF(M50=25,POWER(0.91,E50),IF(M50=20,POWER(0.89,E50),IF(M50=15,POWER(0.87,E50),IF(M50=10,POWER(0.8,E50),0)))))))</f>
        <v>1</v>
      </c>
      <c r="O50" s="88"/>
      <c r="P50" s="5">
        <f>L50*N50*O50</f>
        <v>0</v>
      </c>
      <c r="Q50" s="103">
        <f>IF(E50=0,0,L50*N50*O50)</f>
        <v>0</v>
      </c>
      <c r="R50" s="88"/>
      <c r="S50" s="106">
        <f>Q50*R50</f>
        <v>0</v>
      </c>
      <c r="V50" s="192">
        <f>IF(Q50=0,0,L50)</f>
        <v>0</v>
      </c>
      <c r="W50" s="192"/>
      <c r="AC50" s="78" t="s">
        <v>49</v>
      </c>
      <c r="AD50" s="80"/>
      <c r="AE50" s="72"/>
      <c r="AF50" s="72" t="s">
        <v>52</v>
      </c>
      <c r="AG50" s="81">
        <v>7500</v>
      </c>
      <c r="AH50" s="176"/>
      <c r="AI50" s="178">
        <f>IF(AC50=0,0,VLOOKUP(AC50,Paramètres!$C$5:$H$42,3,FALSE))</f>
        <v>8.6</v>
      </c>
      <c r="AJ50" s="178">
        <f>IF(AC50=0,0,VLOOKUP(AC50,Paramètres!$C$5:$H$42,4,FALSE))</f>
        <v>12.05</v>
      </c>
      <c r="AK50" s="82">
        <f>IF(AC50=0,0,VLOOKUP(AC50,Paramètres!$C$5:$H$42,5,FALSE))</f>
        <v>10.325</v>
      </c>
      <c r="AL50" s="103">
        <f>AG50*AK50</f>
        <v>77437.5</v>
      </c>
      <c r="AM50" s="4">
        <f>IF(AC50=0,0,VLOOKUP(AC50,Paramètres!$C$5:$H$42,2,FALSE))</f>
        <v>20</v>
      </c>
      <c r="AN50" s="11">
        <f>IF(AM50=40,POWER(0.95,AE50),IF(AM50=35,POWER(0.94,AE50),IF(AM50=30,POWER(0.93,AE50),IF(AM50=25,POWER(0.91,AE50),IF(AM50=20,POWER(0.89,AE50),IF(AM50=15,POWER(0.87,AE50),IF(AM50=10,POWER(0.8,AE50),0)))))))</f>
        <v>1</v>
      </c>
      <c r="AO50" s="88"/>
      <c r="AP50" s="5">
        <f>AL50*AN50*AO50</f>
        <v>0</v>
      </c>
      <c r="AQ50" s="103">
        <f>IF(AE50=0,0,AL50*AN50*AO50)</f>
        <v>0</v>
      </c>
      <c r="AR50" s="88"/>
      <c r="AS50" s="106">
        <f>AQ50*AR50</f>
        <v>0</v>
      </c>
    </row>
    <row r="51" spans="1:45" ht="12.75">
      <c r="A51" t="s">
        <v>25</v>
      </c>
      <c r="C51" s="78" t="s">
        <v>50</v>
      </c>
      <c r="D51" s="71"/>
      <c r="E51" s="72"/>
      <c r="F51" s="72" t="s">
        <v>52</v>
      </c>
      <c r="G51" s="79">
        <v>7530</v>
      </c>
      <c r="H51" s="176"/>
      <c r="I51" s="178">
        <f>IF(C51=0,0,VLOOKUP(C51,Paramètres!$C$5:$H$42,3,FALSE))</f>
        <v>9.42</v>
      </c>
      <c r="J51" s="178">
        <f>IF(C51=0,0,VLOOKUP(C51,Paramètres!$C$5:$H$42,4,FALSE))</f>
        <v>13.65</v>
      </c>
      <c r="K51" s="82">
        <f>IF(C51=0,0,VLOOKUP(C51,Paramètres!$C$5:$H$42,5,FALSE))</f>
        <v>11.535</v>
      </c>
      <c r="L51" s="103">
        <f>G51*K51</f>
        <v>86858.55</v>
      </c>
      <c r="M51" s="4">
        <f>IF(C51=0,0,VLOOKUP(C51,Paramètres!$C$5:$H$42,2,FALSE))</f>
        <v>20</v>
      </c>
      <c r="N51" s="11">
        <f>IF(M51=40,POWER(0.95,E51),IF(M51=35,POWER(0.94,E51),IF(M51=30,POWER(0.93,E51),IF(M51=25,POWER(0.91,E51),IF(M51=20,POWER(0.89,E51),IF(M51=15,POWER(0.87,E51),IF(M51=10,POWER(0.8,E51),0)))))))</f>
        <v>1</v>
      </c>
      <c r="O51" s="88"/>
      <c r="P51" s="5">
        <f>L51*N51*O51</f>
        <v>0</v>
      </c>
      <c r="Q51" s="103">
        <f>IF(E51=0,0,L51*N51*O51)</f>
        <v>0</v>
      </c>
      <c r="R51" s="88"/>
      <c r="S51" s="106">
        <f>Q51*R51</f>
        <v>0</v>
      </c>
      <c r="V51" s="192">
        <f>IF(Q51=0,0,L51)</f>
        <v>0</v>
      </c>
      <c r="W51" s="192"/>
      <c r="AC51" s="78" t="s">
        <v>50</v>
      </c>
      <c r="AD51" s="71"/>
      <c r="AE51" s="72"/>
      <c r="AF51" s="72" t="s">
        <v>52</v>
      </c>
      <c r="AG51" s="79">
        <v>7530</v>
      </c>
      <c r="AH51" s="176"/>
      <c r="AI51" s="178">
        <f>IF(AC51=0,0,VLOOKUP(AC51,Paramètres!$C$5:$H$42,3,FALSE))</f>
        <v>9.42</v>
      </c>
      <c r="AJ51" s="178">
        <f>IF(AC51=0,0,VLOOKUP(AC51,Paramètres!$C$5:$H$42,4,FALSE))</f>
        <v>13.65</v>
      </c>
      <c r="AK51" s="82">
        <f>IF(AC51=0,0,VLOOKUP(AC51,Paramètres!$C$5:$H$42,5,FALSE))</f>
        <v>11.535</v>
      </c>
      <c r="AL51" s="103">
        <f>AG51*AK51</f>
        <v>86858.55</v>
      </c>
      <c r="AM51" s="4">
        <f>IF(AC51=0,0,VLOOKUP(AC51,Paramètres!$C$5:$H$42,2,FALSE))</f>
        <v>20</v>
      </c>
      <c r="AN51" s="11">
        <f>IF(AM51=40,POWER(0.95,AE51),IF(AM51=35,POWER(0.94,AE51),IF(AM51=30,POWER(0.93,AE51),IF(AM51=25,POWER(0.91,AE51),IF(AM51=20,POWER(0.89,AE51),IF(AM51=15,POWER(0.87,AE51),IF(AM51=10,POWER(0.8,AE51),0)))))))</f>
        <v>1</v>
      </c>
      <c r="AO51" s="88"/>
      <c r="AP51" s="5">
        <f>AL51*AN51*AO51</f>
        <v>0</v>
      </c>
      <c r="AQ51" s="103">
        <f>IF(AE51=0,0,AL51*AN51*AO51)</f>
        <v>0</v>
      </c>
      <c r="AR51" s="88"/>
      <c r="AS51" s="106">
        <f>AQ51*AR51</f>
        <v>0</v>
      </c>
    </row>
    <row r="52" spans="1:45" ht="45">
      <c r="A52" t="s">
        <v>25</v>
      </c>
      <c r="C52" s="144"/>
      <c r="D52" s="12"/>
      <c r="E52" s="99" t="s">
        <v>18</v>
      </c>
      <c r="F52" s="84" t="s">
        <v>122</v>
      </c>
      <c r="G52" s="84" t="s">
        <v>121</v>
      </c>
      <c r="H52" s="84" t="s">
        <v>51</v>
      </c>
      <c r="I52" s="145"/>
      <c r="J52" s="145"/>
      <c r="K52" s="146" t="s">
        <v>89</v>
      </c>
      <c r="L52" s="147"/>
      <c r="M52" s="104"/>
      <c r="N52" s="105"/>
      <c r="O52" s="148"/>
      <c r="P52" s="103"/>
      <c r="Q52" s="119"/>
      <c r="R52" s="103"/>
      <c r="S52" s="106"/>
      <c r="V52" s="192">
        <f>IF(Q52=0,0,L52)</f>
        <v>0</v>
      </c>
      <c r="W52" s="192"/>
      <c r="AC52" s="144"/>
      <c r="AD52" s="12"/>
      <c r="AE52" s="99" t="s">
        <v>18</v>
      </c>
      <c r="AF52" s="84" t="s">
        <v>122</v>
      </c>
      <c r="AG52" s="84" t="s">
        <v>121</v>
      </c>
      <c r="AH52" s="84" t="s">
        <v>51</v>
      </c>
      <c r="AI52" s="145"/>
      <c r="AJ52" s="145"/>
      <c r="AK52" s="146" t="s">
        <v>89</v>
      </c>
      <c r="AL52" s="147"/>
      <c r="AM52" s="104"/>
      <c r="AN52" s="105"/>
      <c r="AO52" s="148"/>
      <c r="AP52" s="103"/>
      <c r="AQ52" s="119"/>
      <c r="AR52" s="103"/>
      <c r="AS52" s="106"/>
    </row>
    <row r="53" spans="1:45" ht="12.75">
      <c r="A53" t="s">
        <v>25</v>
      </c>
      <c r="C53" s="78" t="s">
        <v>47</v>
      </c>
      <c r="D53" s="71"/>
      <c r="E53" s="72"/>
      <c r="F53" s="72" t="s">
        <v>54</v>
      </c>
      <c r="G53" s="79" t="s">
        <v>53</v>
      </c>
      <c r="H53" s="176">
        <v>27032</v>
      </c>
      <c r="I53" s="178">
        <f>IF(C53=0,0,VLOOKUP(C53,Paramètres!$C$5:$H$42,3,FALSE))</f>
        <v>0.84</v>
      </c>
      <c r="J53" s="178">
        <f>IF(C53=0,0,VLOOKUP(C53,Paramètres!$C$5:$H$42,4,FALSE))</f>
        <v>3.1</v>
      </c>
      <c r="K53" s="82">
        <f>IF(C53=0,0,VLOOKUP(C53,Paramètres!$C$5:$H$42,5,FALSE))</f>
        <v>1.97</v>
      </c>
      <c r="L53" s="103">
        <f>H53*K53</f>
        <v>53253.04</v>
      </c>
      <c r="M53" s="4">
        <f>IF(C53=0,0,VLOOKUP(C53,Paramètres!$C$5:$H$42,2,FALSE))</f>
        <v>20</v>
      </c>
      <c r="N53" s="11">
        <f>IF(M53=40,POWER(0.95,E53),IF(M53=35,POWER(0.94,E53),IF(M53=30,POWER(0.93,E53),IF(M53=25,POWER(0.91,E53),IF(M53=20,POWER(0.89,E53),IF(M53=15,POWER(0.87,E53),IF(M53=10,POWER(0.8,E53),0)))))))</f>
        <v>1</v>
      </c>
      <c r="O53" s="88"/>
      <c r="P53" s="5">
        <f>L53*N53*O53</f>
        <v>0</v>
      </c>
      <c r="Q53" s="103">
        <f>IF(E53=0,0,L53*N53*O53)</f>
        <v>0</v>
      </c>
      <c r="R53" s="88"/>
      <c r="S53" s="106">
        <f>Q53*R53</f>
        <v>0</v>
      </c>
      <c r="V53" s="192">
        <f>IF(Q53=0,0,L53)</f>
        <v>0</v>
      </c>
      <c r="W53" s="192"/>
      <c r="AC53" s="78" t="s">
        <v>47</v>
      </c>
      <c r="AD53" s="71"/>
      <c r="AE53" s="72"/>
      <c r="AF53" s="72" t="s">
        <v>54</v>
      </c>
      <c r="AG53" s="79" t="s">
        <v>53</v>
      </c>
      <c r="AH53" s="176">
        <v>27032</v>
      </c>
      <c r="AI53" s="178">
        <f>IF(AC53=0,0,VLOOKUP(AC53,Paramètres!$C$5:$H$42,3,FALSE))</f>
        <v>0.84</v>
      </c>
      <c r="AJ53" s="178">
        <f>IF(AC53=0,0,VLOOKUP(AC53,Paramètres!$C$5:$H$42,4,FALSE))</f>
        <v>3.1</v>
      </c>
      <c r="AK53" s="82">
        <f>IF(AC53=0,0,VLOOKUP(AC53,Paramètres!$C$5:$H$42,5,FALSE))</f>
        <v>1.97</v>
      </c>
      <c r="AL53" s="103">
        <f>AH53*AK53</f>
        <v>53253.04</v>
      </c>
      <c r="AM53" s="4">
        <f>IF(AC53=0,0,VLOOKUP(AC53,Paramètres!$C$5:$H$42,2,FALSE))</f>
        <v>20</v>
      </c>
      <c r="AN53" s="11">
        <f>IF(AM53=40,POWER(0.95,AE53),IF(AM53=35,POWER(0.94,AE53),IF(AM53=30,POWER(0.93,AE53),IF(AM53=25,POWER(0.91,AE53),IF(AM53=20,POWER(0.89,AE53),IF(AM53=15,POWER(0.87,AE53),IF(AM53=10,POWER(0.8,AE53),0)))))))</f>
        <v>1</v>
      </c>
      <c r="AO53" s="88"/>
      <c r="AP53" s="5">
        <f>AL53*AN53*AO53</f>
        <v>0</v>
      </c>
      <c r="AQ53" s="103">
        <f>IF(AE53=0,0,AL53*AN53*AO53)</f>
        <v>0</v>
      </c>
      <c r="AR53" s="88"/>
      <c r="AS53" s="106">
        <f>AQ53*AR53</f>
        <v>0</v>
      </c>
    </row>
    <row r="54" spans="1:45" ht="15.75" customHeight="1" thickBot="1">
      <c r="A54" t="s">
        <v>25</v>
      </c>
      <c r="C54" s="124" t="s">
        <v>9</v>
      </c>
      <c r="D54" s="125"/>
      <c r="E54" s="126"/>
      <c r="F54" s="127"/>
      <c r="G54" s="127"/>
      <c r="H54" s="128"/>
      <c r="I54" s="128"/>
      <c r="J54" s="128"/>
      <c r="K54" s="127"/>
      <c r="L54" s="116">
        <f>$V$54</f>
        <v>0</v>
      </c>
      <c r="M54" s="125"/>
      <c r="N54" s="129"/>
      <c r="O54" s="129"/>
      <c r="P54" s="116"/>
      <c r="Q54" s="116">
        <f>SUM(Q49:Q53)</f>
        <v>0</v>
      </c>
      <c r="R54" s="129"/>
      <c r="S54" s="107">
        <f>SUM(S49:S53)</f>
        <v>0</v>
      </c>
      <c r="V54" s="192">
        <f>SUM(V49:V53)</f>
        <v>0</v>
      </c>
      <c r="W54" s="192"/>
      <c r="AC54" s="124" t="s">
        <v>9</v>
      </c>
      <c r="AD54" s="125"/>
      <c r="AE54" s="126"/>
      <c r="AF54" s="127"/>
      <c r="AG54" s="127"/>
      <c r="AH54" s="128"/>
      <c r="AI54" s="128"/>
      <c r="AJ54" s="128"/>
      <c r="AK54" s="127"/>
      <c r="AL54" s="116">
        <f>$V$54</f>
        <v>0</v>
      </c>
      <c r="AM54" s="125"/>
      <c r="AN54" s="129"/>
      <c r="AO54" s="129"/>
      <c r="AP54" s="116"/>
      <c r="AQ54" s="116">
        <f>SUM(AQ49:AQ53)</f>
        <v>0</v>
      </c>
      <c r="AR54" s="129"/>
      <c r="AS54" s="107">
        <f>SUM(AS49:AS53)</f>
        <v>0</v>
      </c>
    </row>
    <row r="55" spans="1:45" ht="18.75" customHeight="1" thickTop="1">
      <c r="A55" t="s">
        <v>26</v>
      </c>
      <c r="C55" s="236" t="s">
        <v>68</v>
      </c>
      <c r="D55" s="237"/>
      <c r="E55" s="238"/>
      <c r="F55" s="238"/>
      <c r="G55" s="238"/>
      <c r="H55" s="93"/>
      <c r="I55" s="93"/>
      <c r="J55" s="93"/>
      <c r="K55" s="92"/>
      <c r="L55" s="120"/>
      <c r="M55" s="90"/>
      <c r="N55" s="153"/>
      <c r="O55" s="153"/>
      <c r="P55" s="120"/>
      <c r="Q55" s="120"/>
      <c r="R55" s="153"/>
      <c r="S55" s="229" t="s">
        <v>125</v>
      </c>
      <c r="V55" s="192"/>
      <c r="W55" s="192"/>
      <c r="AC55" s="236" t="s">
        <v>68</v>
      </c>
      <c r="AD55" s="237"/>
      <c r="AE55" s="238"/>
      <c r="AF55" s="238"/>
      <c r="AG55" s="238"/>
      <c r="AH55" s="93"/>
      <c r="AI55" s="93"/>
      <c r="AJ55" s="93"/>
      <c r="AK55" s="92"/>
      <c r="AL55" s="120"/>
      <c r="AM55" s="90"/>
      <c r="AN55" s="153"/>
      <c r="AO55" s="153"/>
      <c r="AP55" s="120"/>
      <c r="AQ55" s="120"/>
      <c r="AR55" s="153"/>
      <c r="AS55" s="229" t="s">
        <v>125</v>
      </c>
    </row>
    <row r="56" spans="1:45" ht="12.75" customHeight="1">
      <c r="A56" t="s">
        <v>26</v>
      </c>
      <c r="B56" s="41"/>
      <c r="C56" s="144"/>
      <c r="D56" s="94"/>
      <c r="E56" s="91"/>
      <c r="F56" s="235" t="s">
        <v>20</v>
      </c>
      <c r="G56" s="235"/>
      <c r="H56" s="93"/>
      <c r="I56" s="231" t="s">
        <v>111</v>
      </c>
      <c r="J56" s="231"/>
      <c r="K56" s="90"/>
      <c r="L56" s="120"/>
      <c r="M56" s="90"/>
      <c r="N56" s="153"/>
      <c r="O56" s="153"/>
      <c r="P56" s="120"/>
      <c r="Q56" s="120"/>
      <c r="R56" s="153"/>
      <c r="S56" s="234"/>
      <c r="V56" s="192"/>
      <c r="W56" s="192"/>
      <c r="AC56" s="144"/>
      <c r="AD56" s="94"/>
      <c r="AE56" s="91"/>
      <c r="AF56" s="235" t="s">
        <v>20</v>
      </c>
      <c r="AG56" s="235"/>
      <c r="AH56" s="93"/>
      <c r="AI56" s="231" t="s">
        <v>111</v>
      </c>
      <c r="AJ56" s="231"/>
      <c r="AK56" s="90"/>
      <c r="AL56" s="120"/>
      <c r="AM56" s="90"/>
      <c r="AN56" s="153"/>
      <c r="AO56" s="153"/>
      <c r="AP56" s="120"/>
      <c r="AQ56" s="120"/>
      <c r="AR56" s="153"/>
      <c r="AS56" s="234"/>
    </row>
    <row r="57" spans="1:45" ht="30" customHeight="1">
      <c r="A57" t="s">
        <v>26</v>
      </c>
      <c r="B57" s="41"/>
      <c r="C57" s="137"/>
      <c r="D57" s="97" t="s">
        <v>23</v>
      </c>
      <c r="E57" s="99" t="s">
        <v>18</v>
      </c>
      <c r="F57" s="84" t="s">
        <v>122</v>
      </c>
      <c r="G57" s="84" t="s">
        <v>121</v>
      </c>
      <c r="H57" s="149"/>
      <c r="I57" s="232"/>
      <c r="J57" s="232"/>
      <c r="K57" s="99" t="s">
        <v>112</v>
      </c>
      <c r="L57" s="84" t="s">
        <v>0</v>
      </c>
      <c r="M57" s="84" t="s">
        <v>19</v>
      </c>
      <c r="N57" s="84" t="s">
        <v>6</v>
      </c>
      <c r="O57" s="99" t="s">
        <v>10</v>
      </c>
      <c r="P57" s="84" t="s">
        <v>4</v>
      </c>
      <c r="Q57" s="84" t="s">
        <v>8</v>
      </c>
      <c r="R57" s="98" t="s">
        <v>128</v>
      </c>
      <c r="S57" s="234"/>
      <c r="V57" s="192"/>
      <c r="W57" s="192"/>
      <c r="AC57" s="137"/>
      <c r="AD57" s="97" t="s">
        <v>23</v>
      </c>
      <c r="AE57" s="99" t="s">
        <v>18</v>
      </c>
      <c r="AF57" s="84" t="s">
        <v>122</v>
      </c>
      <c r="AG57" s="84" t="s">
        <v>121</v>
      </c>
      <c r="AH57" s="149"/>
      <c r="AI57" s="232"/>
      <c r="AJ57" s="232"/>
      <c r="AK57" s="99" t="s">
        <v>112</v>
      </c>
      <c r="AL57" s="84" t="s">
        <v>0</v>
      </c>
      <c r="AM57" s="84" t="s">
        <v>19</v>
      </c>
      <c r="AN57" s="84" t="s">
        <v>6</v>
      </c>
      <c r="AO57" s="99" t="s">
        <v>10</v>
      </c>
      <c r="AP57" s="84" t="s">
        <v>4</v>
      </c>
      <c r="AQ57" s="84" t="s">
        <v>8</v>
      </c>
      <c r="AR57" s="98" t="s">
        <v>128</v>
      </c>
      <c r="AS57" s="234"/>
    </row>
    <row r="58" spans="1:45" ht="12.75" customHeight="1">
      <c r="A58" t="s">
        <v>26</v>
      </c>
      <c r="B58" s="41"/>
      <c r="C58" s="75" t="s">
        <v>16</v>
      </c>
      <c r="D58" s="71"/>
      <c r="E58" s="72"/>
      <c r="F58" s="85">
        <v>20</v>
      </c>
      <c r="G58" s="85">
        <v>80</v>
      </c>
      <c r="H58" s="179"/>
      <c r="I58" s="180">
        <f>IF(C58=0,0,VLOOKUP(C58,Paramètres!$C$5:$H$42,3,FALSE))</f>
        <v>61635</v>
      </c>
      <c r="J58" s="180">
        <f>IF(C58=0,0,VLOOKUP(C58,Paramètres!$C$5:$H$42,4,FALSE))</f>
        <v>89275</v>
      </c>
      <c r="K58" s="79">
        <f>IF(C58=0,0,VLOOKUP(C58,Paramètres!$C$5:$H$42,5,FALSE))</f>
        <v>77315</v>
      </c>
      <c r="L58" s="121">
        <f>K58</f>
        <v>77315</v>
      </c>
      <c r="M58" s="4">
        <f>IF(C58=0,0,VLOOKUP(C58,Paramètres!$C$5:$H$42,2,FALSE))</f>
        <v>30</v>
      </c>
      <c r="N58" s="11">
        <f aca="true" t="shared" si="24" ref="N58:N63">IF(M58=40,POWER(0.95,E58),IF(M58=35,POWER(0.94,E58),IF(M58=30,POWER(0.93,E58),IF(M58=25,POWER(0.91,E58),IF(M58=20,POWER(0.89,E58),IF(M58=15,POWER(0.87,E58),IF(M58=10,POWER(0.8,E58),0)))))))</f>
        <v>1</v>
      </c>
      <c r="O58" s="88"/>
      <c r="P58" s="5">
        <f>L58*N58*O58</f>
        <v>0</v>
      </c>
      <c r="Q58" s="103">
        <f aca="true" t="shared" si="25" ref="Q58:Q63">IF(E58=0,0,L58*N58*O58)</f>
        <v>0</v>
      </c>
      <c r="R58" s="88"/>
      <c r="S58" s="106">
        <f aca="true" t="shared" si="26" ref="S58:S66">Q58*R58</f>
        <v>0</v>
      </c>
      <c r="V58" s="192">
        <f aca="true" t="shared" si="27" ref="V58:V66">IF(Q58=0,0,L58)</f>
        <v>0</v>
      </c>
      <c r="W58" s="192"/>
      <c r="AC58" s="75" t="s">
        <v>16</v>
      </c>
      <c r="AD58" s="71"/>
      <c r="AE58" s="72"/>
      <c r="AF58" s="85">
        <v>20</v>
      </c>
      <c r="AG58" s="85">
        <v>80</v>
      </c>
      <c r="AH58" s="179"/>
      <c r="AI58" s="180">
        <f>IF(AC58=0,0,VLOOKUP(AC58,Paramètres!$C$5:$H$42,3,FALSE))</f>
        <v>61635</v>
      </c>
      <c r="AJ58" s="180">
        <f>IF(AC58=0,0,VLOOKUP(AC58,Paramètres!$C$5:$H$42,4,FALSE))</f>
        <v>89275</v>
      </c>
      <c r="AK58" s="79">
        <f>IF(AC58=0,0,VLOOKUP(AC58,Paramètres!$C$5:$H$42,5,FALSE))</f>
        <v>77315</v>
      </c>
      <c r="AL58" s="121">
        <f>AK58</f>
        <v>77315</v>
      </c>
      <c r="AM58" s="4">
        <f>IF(AC58=0,0,VLOOKUP(AC58,Paramètres!$C$5:$H$42,2,FALSE))</f>
        <v>30</v>
      </c>
      <c r="AN58" s="11">
        <f aca="true" t="shared" si="28" ref="AN58:AN63">IF(AM58=40,POWER(0.95,AE58),IF(AM58=35,POWER(0.94,AE58),IF(AM58=30,POWER(0.93,AE58),IF(AM58=25,POWER(0.91,AE58),IF(AM58=20,POWER(0.89,AE58),IF(AM58=15,POWER(0.87,AE58),IF(AM58=10,POWER(0.8,AE58),0)))))))</f>
        <v>1</v>
      </c>
      <c r="AO58" s="88"/>
      <c r="AP58" s="5">
        <f>AL58*AN58*AO58</f>
        <v>0</v>
      </c>
      <c r="AQ58" s="103">
        <f aca="true" t="shared" si="29" ref="AQ58:AQ63">IF(AE58=0,0,AL58*AN58*AO58)</f>
        <v>0</v>
      </c>
      <c r="AR58" s="88"/>
      <c r="AS58" s="106">
        <f aca="true" t="shared" si="30" ref="AS58:AS66">AQ58*AR58</f>
        <v>0</v>
      </c>
    </row>
    <row r="59" spans="1:45" ht="12.75" customHeight="1">
      <c r="A59" t="s">
        <v>26</v>
      </c>
      <c r="B59" s="41"/>
      <c r="C59" s="75" t="s">
        <v>66</v>
      </c>
      <c r="D59" s="71"/>
      <c r="E59" s="72"/>
      <c r="F59" s="85">
        <v>20</v>
      </c>
      <c r="G59" s="85">
        <v>80</v>
      </c>
      <c r="H59" s="179"/>
      <c r="I59" s="180">
        <f>IF(C59=0,0,VLOOKUP(C59,Paramètres!$C$5:$H$42,3,FALSE))</f>
        <v>64539</v>
      </c>
      <c r="J59" s="180">
        <f>IF(C59=0,0,VLOOKUP(C59,Paramètres!$C$5:$H$42,4,FALSE))</f>
        <v>77739</v>
      </c>
      <c r="K59" s="79">
        <f>IF(C59=0,0,VLOOKUP(C59,Paramètres!$C$5:$H$42,5,FALSE))</f>
        <v>64539</v>
      </c>
      <c r="L59" s="121">
        <f aca="true" t="shared" si="31" ref="L59:L66">K59</f>
        <v>64539</v>
      </c>
      <c r="M59" s="4">
        <f>IF(C59=0,0,VLOOKUP(C59,Paramètres!$C$5:$H$42,2,FALSE))</f>
        <v>30</v>
      </c>
      <c r="N59" s="11">
        <f t="shared" si="24"/>
        <v>1</v>
      </c>
      <c r="O59" s="88"/>
      <c r="P59" s="5">
        <f>L59*N59*O59</f>
        <v>0</v>
      </c>
      <c r="Q59" s="103">
        <f t="shared" si="25"/>
        <v>0</v>
      </c>
      <c r="R59" s="88"/>
      <c r="S59" s="106">
        <f t="shared" si="26"/>
        <v>0</v>
      </c>
      <c r="V59" s="192">
        <f t="shared" si="27"/>
        <v>0</v>
      </c>
      <c r="W59" s="192"/>
      <c r="AC59" s="75" t="s">
        <v>66</v>
      </c>
      <c r="AD59" s="71"/>
      <c r="AE59" s="72"/>
      <c r="AF59" s="85">
        <v>20</v>
      </c>
      <c r="AG59" s="85">
        <v>80</v>
      </c>
      <c r="AH59" s="179"/>
      <c r="AI59" s="180">
        <f>IF(AC59=0,0,VLOOKUP(AC59,Paramètres!$C$5:$H$42,3,FALSE))</f>
        <v>64539</v>
      </c>
      <c r="AJ59" s="180">
        <f>IF(AC59=0,0,VLOOKUP(AC59,Paramètres!$C$5:$H$42,4,FALSE))</f>
        <v>77739</v>
      </c>
      <c r="AK59" s="79">
        <f>IF(AC59=0,0,VLOOKUP(AC59,Paramètres!$C$5:$H$42,5,FALSE))</f>
        <v>64539</v>
      </c>
      <c r="AL59" s="121">
        <f aca="true" t="shared" si="32" ref="AL59:AL66">AK59</f>
        <v>64539</v>
      </c>
      <c r="AM59" s="4">
        <f>IF(AC59=0,0,VLOOKUP(AC59,Paramètres!$C$5:$H$42,2,FALSE))</f>
        <v>30</v>
      </c>
      <c r="AN59" s="11">
        <f t="shared" si="28"/>
        <v>1</v>
      </c>
      <c r="AO59" s="88"/>
      <c r="AP59" s="5">
        <f>AL59*AN59*AO59</f>
        <v>0</v>
      </c>
      <c r="AQ59" s="103">
        <f t="shared" si="29"/>
        <v>0</v>
      </c>
      <c r="AR59" s="88"/>
      <c r="AS59" s="106">
        <f t="shared" si="30"/>
        <v>0</v>
      </c>
    </row>
    <row r="60" spans="1:45" ht="12.75" customHeight="1">
      <c r="A60" t="s">
        <v>26</v>
      </c>
      <c r="B60" s="41"/>
      <c r="C60" s="75"/>
      <c r="D60" s="71"/>
      <c r="E60" s="72"/>
      <c r="F60" s="85"/>
      <c r="G60" s="85"/>
      <c r="H60" s="179"/>
      <c r="I60" s="180">
        <f>IF(C60=0,0,VLOOKUP(C60,Paramètres!$C$5:$H$42,3,FALSE))</f>
        <v>0</v>
      </c>
      <c r="J60" s="180">
        <f>IF(C60=0,0,VLOOKUP(C60,Paramètres!$C$5:$H$42,4,FALSE))</f>
        <v>0</v>
      </c>
      <c r="K60" s="79">
        <f>IF(C60=0,0,VLOOKUP(C60,Paramètres!$C$5:$H$42,5,FALSE))</f>
        <v>0</v>
      </c>
      <c r="L60" s="121">
        <f t="shared" si="31"/>
        <v>0</v>
      </c>
      <c r="M60" s="4">
        <f>IF(C60=0,0,VLOOKUP(C60,Paramètres!$C$5:$H$42,2,FALSE))</f>
        <v>0</v>
      </c>
      <c r="N60" s="11">
        <f t="shared" si="24"/>
        <v>0</v>
      </c>
      <c r="O60" s="88"/>
      <c r="P60" s="5">
        <f>L60*N60*O60</f>
        <v>0</v>
      </c>
      <c r="Q60" s="103">
        <f t="shared" si="25"/>
        <v>0</v>
      </c>
      <c r="R60" s="88"/>
      <c r="S60" s="106">
        <f t="shared" si="26"/>
        <v>0</v>
      </c>
      <c r="V60" s="192">
        <f t="shared" si="27"/>
        <v>0</v>
      </c>
      <c r="W60" s="192"/>
      <c r="AC60" s="75"/>
      <c r="AD60" s="71"/>
      <c r="AE60" s="72"/>
      <c r="AF60" s="85"/>
      <c r="AG60" s="85"/>
      <c r="AH60" s="179"/>
      <c r="AI60" s="180">
        <f>IF(AC60=0,0,VLOOKUP(AC60,Paramètres!$C$5:$H$42,3,FALSE))</f>
        <v>0</v>
      </c>
      <c r="AJ60" s="180">
        <f>IF(AC60=0,0,VLOOKUP(AC60,Paramètres!$C$5:$H$42,4,FALSE))</f>
        <v>0</v>
      </c>
      <c r="AK60" s="79">
        <f>IF(AC60=0,0,VLOOKUP(AC60,Paramètres!$C$5:$H$42,5,FALSE))</f>
        <v>0</v>
      </c>
      <c r="AL60" s="121">
        <f t="shared" si="32"/>
        <v>0</v>
      </c>
      <c r="AM60" s="4">
        <f>IF(AC60=0,0,VLOOKUP(AC60,Paramètres!$C$5:$H$42,2,FALSE))</f>
        <v>0</v>
      </c>
      <c r="AN60" s="11">
        <f t="shared" si="28"/>
        <v>0</v>
      </c>
      <c r="AO60" s="88"/>
      <c r="AP60" s="5">
        <f>AL60*AN60*AO60</f>
        <v>0</v>
      </c>
      <c r="AQ60" s="103">
        <f t="shared" si="29"/>
        <v>0</v>
      </c>
      <c r="AR60" s="88"/>
      <c r="AS60" s="106">
        <f t="shared" si="30"/>
        <v>0</v>
      </c>
    </row>
    <row r="61" spans="1:45" ht="12.75" customHeight="1">
      <c r="A61" t="s">
        <v>26</v>
      </c>
      <c r="B61" s="41"/>
      <c r="C61" s="75" t="s">
        <v>59</v>
      </c>
      <c r="D61" s="71"/>
      <c r="E61" s="72"/>
      <c r="F61" s="85" t="s">
        <v>60</v>
      </c>
      <c r="G61" s="85" t="s">
        <v>61</v>
      </c>
      <c r="H61" s="179"/>
      <c r="I61" s="180">
        <f>IF(C61=0,0,VLOOKUP(C61,Paramètres!$C$5:$H$42,3,FALSE))</f>
        <v>4221</v>
      </c>
      <c r="J61" s="180">
        <f>IF(C61=0,0,VLOOKUP(C61,Paramètres!$C$5:$H$42,4,FALSE))</f>
        <v>24714</v>
      </c>
      <c r="K61" s="79">
        <f>IF(C61=0,0,VLOOKUP(C61,Paramètres!$C$5:$H$42,5,FALSE))</f>
        <v>14467.5</v>
      </c>
      <c r="L61" s="121">
        <f t="shared" si="31"/>
        <v>14467.5</v>
      </c>
      <c r="M61" s="4">
        <f>IF(C61=0,0,VLOOKUP(C61,Paramètres!$C$5:$H$42,2,FALSE))</f>
        <v>20</v>
      </c>
      <c r="N61" s="11">
        <f t="shared" si="24"/>
        <v>1</v>
      </c>
      <c r="O61" s="88"/>
      <c r="P61" s="5">
        <f>L61*N61*O61</f>
        <v>0</v>
      </c>
      <c r="Q61" s="103">
        <f t="shared" si="25"/>
        <v>0</v>
      </c>
      <c r="R61" s="88"/>
      <c r="S61" s="106">
        <f t="shared" si="26"/>
        <v>0</v>
      </c>
      <c r="V61" s="192">
        <f t="shared" si="27"/>
        <v>0</v>
      </c>
      <c r="W61" s="192"/>
      <c r="AC61" s="75" t="s">
        <v>59</v>
      </c>
      <c r="AD61" s="71"/>
      <c r="AE61" s="72"/>
      <c r="AF61" s="85" t="s">
        <v>60</v>
      </c>
      <c r="AG61" s="85" t="s">
        <v>61</v>
      </c>
      <c r="AH61" s="179"/>
      <c r="AI61" s="180">
        <f>IF(AC61=0,0,VLOOKUP(AC61,Paramètres!$C$5:$H$42,3,FALSE))</f>
        <v>4221</v>
      </c>
      <c r="AJ61" s="180">
        <f>IF(AC61=0,0,VLOOKUP(AC61,Paramètres!$C$5:$H$42,4,FALSE))</f>
        <v>24714</v>
      </c>
      <c r="AK61" s="79">
        <f>IF(AC61=0,0,VLOOKUP(AC61,Paramètres!$C$5:$H$42,5,FALSE))</f>
        <v>14467.5</v>
      </c>
      <c r="AL61" s="121">
        <f t="shared" si="32"/>
        <v>14467.5</v>
      </c>
      <c r="AM61" s="4">
        <f>IF(AC61=0,0,VLOOKUP(AC61,Paramètres!$C$5:$H$42,2,FALSE))</f>
        <v>20</v>
      </c>
      <c r="AN61" s="11">
        <f t="shared" si="28"/>
        <v>1</v>
      </c>
      <c r="AO61" s="88"/>
      <c r="AP61" s="5">
        <f>AL61*AN61*AO61</f>
        <v>0</v>
      </c>
      <c r="AQ61" s="103">
        <f t="shared" si="29"/>
        <v>0</v>
      </c>
      <c r="AR61" s="88"/>
      <c r="AS61" s="106">
        <f t="shared" si="30"/>
        <v>0</v>
      </c>
    </row>
    <row r="62" spans="1:45" ht="13.5" customHeight="1">
      <c r="A62" t="s">
        <v>26</v>
      </c>
      <c r="C62" s="75" t="s">
        <v>58</v>
      </c>
      <c r="D62" s="71"/>
      <c r="E62" s="72"/>
      <c r="F62" s="85" t="s">
        <v>62</v>
      </c>
      <c r="G62" s="85" t="s">
        <v>63</v>
      </c>
      <c r="H62" s="179"/>
      <c r="I62" s="180">
        <f>IF(C62=0,0,VLOOKUP(C62,Paramètres!$C$5:$H$42,3,FALSE))</f>
        <v>36000</v>
      </c>
      <c r="J62" s="180">
        <f>IF(C62=0,0,VLOOKUP(C62,Paramètres!$C$5:$H$42,4,FALSE))</f>
        <v>72400</v>
      </c>
      <c r="K62" s="79">
        <f>IF(C62=0,0,VLOOKUP(C62,Paramètres!$C$5:$H$42,5,FALSE))</f>
        <v>54200</v>
      </c>
      <c r="L62" s="121">
        <f t="shared" si="31"/>
        <v>54200</v>
      </c>
      <c r="M62" s="4">
        <f>IF(C62=0,0,VLOOKUP(C62,Paramètres!$C$5:$H$42,2,FALSE))</f>
        <v>30</v>
      </c>
      <c r="N62" s="11">
        <f t="shared" si="24"/>
        <v>1</v>
      </c>
      <c r="O62" s="88"/>
      <c r="P62" s="5">
        <f>L62*N62*O62</f>
        <v>0</v>
      </c>
      <c r="Q62" s="103">
        <f t="shared" si="25"/>
        <v>0</v>
      </c>
      <c r="R62" s="88"/>
      <c r="S62" s="106">
        <f t="shared" si="26"/>
        <v>0</v>
      </c>
      <c r="V62" s="192">
        <f t="shared" si="27"/>
        <v>0</v>
      </c>
      <c r="W62" s="192"/>
      <c r="AC62" s="75" t="s">
        <v>58</v>
      </c>
      <c r="AD62" s="71"/>
      <c r="AE62" s="72"/>
      <c r="AF62" s="85" t="s">
        <v>62</v>
      </c>
      <c r="AG62" s="85" t="s">
        <v>63</v>
      </c>
      <c r="AH62" s="179"/>
      <c r="AI62" s="180">
        <f>IF(AC62=0,0,VLOOKUP(AC62,Paramètres!$C$5:$H$42,3,FALSE))</f>
        <v>36000</v>
      </c>
      <c r="AJ62" s="180">
        <f>IF(AC62=0,0,VLOOKUP(AC62,Paramètres!$C$5:$H$42,4,FALSE))</f>
        <v>72400</v>
      </c>
      <c r="AK62" s="79">
        <f>IF(AC62=0,0,VLOOKUP(AC62,Paramètres!$C$5:$H$42,5,FALSE))</f>
        <v>54200</v>
      </c>
      <c r="AL62" s="121">
        <f t="shared" si="32"/>
        <v>54200</v>
      </c>
      <c r="AM62" s="4">
        <f>IF(AC62=0,0,VLOOKUP(AC62,Paramètres!$C$5:$H$42,2,FALSE))</f>
        <v>30</v>
      </c>
      <c r="AN62" s="11">
        <f t="shared" si="28"/>
        <v>1</v>
      </c>
      <c r="AO62" s="88"/>
      <c r="AP62" s="5">
        <f>AL62*AN62*AO62</f>
        <v>0</v>
      </c>
      <c r="AQ62" s="103">
        <f t="shared" si="29"/>
        <v>0</v>
      </c>
      <c r="AR62" s="88"/>
      <c r="AS62" s="106">
        <f t="shared" si="30"/>
        <v>0</v>
      </c>
    </row>
    <row r="63" spans="1:45" ht="12.75" customHeight="1">
      <c r="A63" t="s">
        <v>26</v>
      </c>
      <c r="B63" s="41"/>
      <c r="C63" s="75" t="s">
        <v>57</v>
      </c>
      <c r="D63" s="71"/>
      <c r="E63" s="72"/>
      <c r="F63" s="85" t="s">
        <v>64</v>
      </c>
      <c r="G63" s="85" t="s">
        <v>65</v>
      </c>
      <c r="H63" s="179"/>
      <c r="I63" s="180">
        <f>IF(C63=0,0,VLOOKUP(C63,Paramètres!$C$5:$H$42,3,FALSE))</f>
        <v>17459</v>
      </c>
      <c r="J63" s="180">
        <f>IF(C63=0,0,VLOOKUP(C63,Paramètres!$C$5:$H$42,4,FALSE))</f>
        <v>100465</v>
      </c>
      <c r="K63" s="79">
        <f>IF(C63=0,0,VLOOKUP(C63,Paramètres!$C$5:$H$42,5,FALSE))</f>
        <v>58962</v>
      </c>
      <c r="L63" s="121">
        <f t="shared" si="31"/>
        <v>58962</v>
      </c>
      <c r="M63" s="4">
        <f>IF(C63=0,0,VLOOKUP(C63,Paramètres!$C$5:$H$42,2,FALSE))</f>
        <v>30</v>
      </c>
      <c r="N63" s="11">
        <f t="shared" si="24"/>
        <v>1</v>
      </c>
      <c r="O63" s="88"/>
      <c r="P63" s="23"/>
      <c r="Q63" s="103">
        <f t="shared" si="25"/>
        <v>0</v>
      </c>
      <c r="R63" s="88"/>
      <c r="S63" s="106">
        <f t="shared" si="26"/>
        <v>0</v>
      </c>
      <c r="V63" s="192">
        <f t="shared" si="27"/>
        <v>0</v>
      </c>
      <c r="W63" s="192"/>
      <c r="AC63" s="75" t="s">
        <v>57</v>
      </c>
      <c r="AD63" s="71"/>
      <c r="AE63" s="72"/>
      <c r="AF63" s="85" t="s">
        <v>64</v>
      </c>
      <c r="AG63" s="85" t="s">
        <v>65</v>
      </c>
      <c r="AH63" s="179"/>
      <c r="AI63" s="180">
        <f>IF(AC63=0,0,VLOOKUP(AC63,Paramètres!$C$5:$H$42,3,FALSE))</f>
        <v>17459</v>
      </c>
      <c r="AJ63" s="180">
        <f>IF(AC63=0,0,VLOOKUP(AC63,Paramètres!$C$5:$H$42,4,FALSE))</f>
        <v>100465</v>
      </c>
      <c r="AK63" s="79">
        <f>IF(AC63=0,0,VLOOKUP(AC63,Paramètres!$C$5:$H$42,5,FALSE))</f>
        <v>58962</v>
      </c>
      <c r="AL63" s="121">
        <f t="shared" si="32"/>
        <v>58962</v>
      </c>
      <c r="AM63" s="4">
        <f>IF(AC63=0,0,VLOOKUP(AC63,Paramètres!$C$5:$H$42,2,FALSE))</f>
        <v>30</v>
      </c>
      <c r="AN63" s="11">
        <f t="shared" si="28"/>
        <v>1</v>
      </c>
      <c r="AO63" s="88"/>
      <c r="AP63" s="23"/>
      <c r="AQ63" s="103">
        <f t="shared" si="29"/>
        <v>0</v>
      </c>
      <c r="AR63" s="88"/>
      <c r="AS63" s="106">
        <f t="shared" si="30"/>
        <v>0</v>
      </c>
    </row>
    <row r="64" spans="1:45" ht="12.75" customHeight="1">
      <c r="A64" t="s">
        <v>26</v>
      </c>
      <c r="B64" s="41"/>
      <c r="C64" s="174"/>
      <c r="D64" s="12"/>
      <c r="E64" s="99" t="s">
        <v>18</v>
      </c>
      <c r="F64" s="84" t="s">
        <v>44</v>
      </c>
      <c r="G64" s="84" t="s">
        <v>121</v>
      </c>
      <c r="H64" s="83" t="s">
        <v>51</v>
      </c>
      <c r="I64" s="151"/>
      <c r="J64" s="151"/>
      <c r="K64" s="146" t="s">
        <v>89</v>
      </c>
      <c r="L64" s="121"/>
      <c r="M64" s="104"/>
      <c r="N64" s="154"/>
      <c r="O64" s="148"/>
      <c r="P64" s="120"/>
      <c r="Q64" s="121"/>
      <c r="R64" s="148"/>
      <c r="S64" s="106">
        <f t="shared" si="26"/>
        <v>0</v>
      </c>
      <c r="V64" s="192">
        <f t="shared" si="27"/>
        <v>0</v>
      </c>
      <c r="W64" s="192"/>
      <c r="AC64" s="174"/>
      <c r="AD64" s="12"/>
      <c r="AE64" s="99" t="s">
        <v>18</v>
      </c>
      <c r="AF64" s="84" t="s">
        <v>44</v>
      </c>
      <c r="AG64" s="84" t="s">
        <v>121</v>
      </c>
      <c r="AH64" s="83" t="s">
        <v>51</v>
      </c>
      <c r="AI64" s="151"/>
      <c r="AJ64" s="151"/>
      <c r="AK64" s="146" t="s">
        <v>89</v>
      </c>
      <c r="AL64" s="121"/>
      <c r="AM64" s="104"/>
      <c r="AN64" s="154"/>
      <c r="AO64" s="148"/>
      <c r="AP64" s="120"/>
      <c r="AQ64" s="121"/>
      <c r="AR64" s="148"/>
      <c r="AS64" s="106">
        <f t="shared" si="30"/>
        <v>0</v>
      </c>
    </row>
    <row r="65" spans="1:45" ht="13.5" customHeight="1">
      <c r="A65" t="s">
        <v>26</v>
      </c>
      <c r="C65" s="75" t="s">
        <v>56</v>
      </c>
      <c r="D65" s="71"/>
      <c r="E65" s="72"/>
      <c r="F65" s="85">
        <v>118</v>
      </c>
      <c r="G65" s="85">
        <v>8</v>
      </c>
      <c r="H65" s="179">
        <f>G65*F65*E65</f>
        <v>0</v>
      </c>
      <c r="I65" s="180">
        <f>IF(C65=0,0,VLOOKUP(C65,Paramètres!$C$5:$H$42,3,FALSE))</f>
        <v>0.75</v>
      </c>
      <c r="J65" s="180">
        <f>IF(C65=0,0,VLOOKUP(C65,Paramètres!$C$5:$H$42,4,FALSE))</f>
        <v>0.85</v>
      </c>
      <c r="K65" s="208">
        <f>IF(C65=0,0,VLOOKUP(C65,Paramètres!$C$5:$H$42,5,FALSE))</f>
        <v>0.8</v>
      </c>
      <c r="L65" s="121">
        <f>K65*H65</f>
        <v>0</v>
      </c>
      <c r="M65" s="4">
        <f>IF(C65=0,0,VLOOKUP(C65,Paramètres!$C$5:$H$42,2,FALSE))</f>
        <v>30</v>
      </c>
      <c r="N65" s="11">
        <f>IF(M65=40,POWER(0.95,E65),IF(M65=35,POWER(0.94,E65),IF(M65=30,POWER(0.93,E65),IF(M65=25,POWER(0.91,E65),IF(M65=20,POWER(0.89,E65),IF(M65=15,POWER(0.87,E65),IF(M65=10,POWER(0.8,E65),0)))))))</f>
        <v>1</v>
      </c>
      <c r="O65" s="88"/>
      <c r="P65" s="5"/>
      <c r="Q65" s="103">
        <f>IF(E65=0,0,L65*N65*O65)</f>
        <v>0</v>
      </c>
      <c r="R65" s="88"/>
      <c r="S65" s="106">
        <f t="shared" si="26"/>
        <v>0</v>
      </c>
      <c r="V65" s="192">
        <f t="shared" si="27"/>
        <v>0</v>
      </c>
      <c r="W65" s="192"/>
      <c r="AC65" s="75" t="s">
        <v>56</v>
      </c>
      <c r="AD65" s="71"/>
      <c r="AE65" s="72"/>
      <c r="AF65" s="85">
        <v>118</v>
      </c>
      <c r="AG65" s="85">
        <v>8</v>
      </c>
      <c r="AH65" s="179">
        <f>AG65*AF65*AE65</f>
        <v>0</v>
      </c>
      <c r="AI65" s="180">
        <f>IF(AC65=0,0,VLOOKUP(AC65,Paramètres!$C$5:$H$42,3,FALSE))</f>
        <v>0.75</v>
      </c>
      <c r="AJ65" s="180">
        <f>IF(AC65=0,0,VLOOKUP(AC65,Paramètres!$C$5:$H$42,4,FALSE))</f>
        <v>0.85</v>
      </c>
      <c r="AK65" s="79">
        <f>IF(AC65=0,0,VLOOKUP(AC65,Paramètres!$C$5:$H$42,5,FALSE))</f>
        <v>0.8</v>
      </c>
      <c r="AL65" s="121">
        <f>AK65*AH65</f>
        <v>0</v>
      </c>
      <c r="AM65" s="4">
        <f>IF(AC65=0,0,VLOOKUP(AC65,Paramètres!$C$5:$H$42,2,FALSE))</f>
        <v>30</v>
      </c>
      <c r="AN65" s="11">
        <f>IF(AM65=40,POWER(0.95,AE65),IF(AM65=35,POWER(0.94,AE65),IF(AM65=30,POWER(0.93,AE65),IF(AM65=25,POWER(0.91,AE65),IF(AM65=20,POWER(0.89,AE65),IF(AM65=15,POWER(0.87,AE65),IF(AM65=10,POWER(0.8,AE65),0)))))))</f>
        <v>1</v>
      </c>
      <c r="AO65" s="88"/>
      <c r="AP65" s="5"/>
      <c r="AQ65" s="103">
        <f>IF(AE65=0,0,AL65*AN65*AO65)</f>
        <v>0</v>
      </c>
      <c r="AR65" s="88"/>
      <c r="AS65" s="106">
        <f t="shared" si="30"/>
        <v>0</v>
      </c>
    </row>
    <row r="66" spans="1:45" ht="13.5" customHeight="1">
      <c r="A66" t="s">
        <v>26</v>
      </c>
      <c r="C66" s="75"/>
      <c r="D66" s="71"/>
      <c r="E66" s="72"/>
      <c r="F66" s="85"/>
      <c r="G66" s="85"/>
      <c r="H66" s="179">
        <f>G66*F66*E66</f>
        <v>0</v>
      </c>
      <c r="I66" s="180">
        <f>IF(C66=0,0,VLOOKUP(C66,Paramètres!$C$5:$H$42,3,FALSE))</f>
        <v>0</v>
      </c>
      <c r="J66" s="180">
        <f>IF(C66=0,0,VLOOKUP(C66,Paramètres!$C$5:$H$42,4,FALSE))</f>
        <v>0</v>
      </c>
      <c r="K66" s="79">
        <f>IF(C66=0,0,VLOOKUP(C66,Paramètres!$C$5:$H$42,5,FALSE))</f>
        <v>0</v>
      </c>
      <c r="L66" s="121">
        <f t="shared" si="31"/>
        <v>0</v>
      </c>
      <c r="M66" s="4">
        <f>IF(C66=0,0,VLOOKUP(C66,Paramètres!$C$5:$H$42,2,FALSE))</f>
        <v>0</v>
      </c>
      <c r="N66" s="11">
        <f>IF(M66=40,POWER(0.95,E66),IF(M66=35,POWER(0.94,E66),IF(M66=30,POWER(0.93,E66),IF(M66=25,POWER(0.91,E66),IF(M66=20,POWER(0.89,E66),IF(M66=15,POWER(0.87,E66),IF(M66=10,POWER(0.8,E66),0)))))))</f>
        <v>0</v>
      </c>
      <c r="O66" s="88"/>
      <c r="P66" s="5"/>
      <c r="Q66" s="103">
        <f>IF(E66=0,0,L66*N66*O66)</f>
        <v>0</v>
      </c>
      <c r="R66" s="88"/>
      <c r="S66" s="106">
        <f t="shared" si="26"/>
        <v>0</v>
      </c>
      <c r="V66" s="192">
        <f t="shared" si="27"/>
        <v>0</v>
      </c>
      <c r="W66" s="192"/>
      <c r="AC66" s="75"/>
      <c r="AD66" s="71"/>
      <c r="AE66" s="72"/>
      <c r="AF66" s="85"/>
      <c r="AG66" s="85"/>
      <c r="AH66" s="179">
        <f>AG66*AF66*AE66</f>
        <v>0</v>
      </c>
      <c r="AI66" s="180">
        <f>IF(AC66=0,0,VLOOKUP(AC66,Paramètres!$C$5:$H$42,3,FALSE))</f>
        <v>0</v>
      </c>
      <c r="AJ66" s="180">
        <f>IF(AC66=0,0,VLOOKUP(AC66,Paramètres!$C$5:$H$42,4,FALSE))</f>
        <v>0</v>
      </c>
      <c r="AK66" s="79">
        <f>IF(AC66=0,0,VLOOKUP(AC66,Paramètres!$C$5:$H$42,5,FALSE))</f>
        <v>0</v>
      </c>
      <c r="AL66" s="121">
        <f t="shared" si="32"/>
        <v>0</v>
      </c>
      <c r="AM66" s="4">
        <f>IF(AC66=0,0,VLOOKUP(AC66,Paramètres!$C$5:$H$42,2,FALSE))</f>
        <v>0</v>
      </c>
      <c r="AN66" s="11">
        <f>IF(AM66=40,POWER(0.95,AE66),IF(AM66=35,POWER(0.94,AE66),IF(AM66=30,POWER(0.93,AE66),IF(AM66=25,POWER(0.91,AE66),IF(AM66=20,POWER(0.89,AE66),IF(AM66=15,POWER(0.87,AE66),IF(AM66=10,POWER(0.8,AE66),0)))))))</f>
        <v>0</v>
      </c>
      <c r="AO66" s="88"/>
      <c r="AP66" s="5"/>
      <c r="AQ66" s="103">
        <f>IF(AE66=0,0,AL66*AN66*AO66)</f>
        <v>0</v>
      </c>
      <c r="AR66" s="88"/>
      <c r="AS66" s="106">
        <f t="shared" si="30"/>
        <v>0</v>
      </c>
    </row>
    <row r="67" spans="1:45" ht="30.75" customHeight="1" thickBot="1">
      <c r="A67" t="s">
        <v>26</v>
      </c>
      <c r="C67" s="124" t="s">
        <v>9</v>
      </c>
      <c r="D67" s="125"/>
      <c r="E67" s="126"/>
      <c r="F67" s="127"/>
      <c r="G67" s="127"/>
      <c r="H67" s="128"/>
      <c r="I67" s="128"/>
      <c r="J67" s="128"/>
      <c r="K67" s="127"/>
      <c r="L67" s="116">
        <f>$V$67</f>
        <v>0</v>
      </c>
      <c r="M67" s="125"/>
      <c r="N67" s="129"/>
      <c r="O67" s="129"/>
      <c r="P67" s="116"/>
      <c r="Q67" s="116">
        <f>SUM(Q58:Q66)</f>
        <v>0</v>
      </c>
      <c r="R67" s="129"/>
      <c r="S67" s="107">
        <f>SUM(S58:S66)</f>
        <v>0</v>
      </c>
      <c r="V67" s="192">
        <f>SUM(V58:V66)</f>
        <v>0</v>
      </c>
      <c r="W67" s="192"/>
      <c r="AC67" s="124" t="s">
        <v>9</v>
      </c>
      <c r="AD67" s="125"/>
      <c r="AE67" s="126"/>
      <c r="AF67" s="127"/>
      <c r="AG67" s="127"/>
      <c r="AH67" s="128"/>
      <c r="AI67" s="128"/>
      <c r="AJ67" s="128"/>
      <c r="AK67" s="127"/>
      <c r="AL67" s="116">
        <f>$V$67</f>
        <v>0</v>
      </c>
      <c r="AM67" s="125"/>
      <c r="AN67" s="129"/>
      <c r="AO67" s="129"/>
      <c r="AP67" s="116"/>
      <c r="AQ67" s="116">
        <f>SUM(AQ58:AQ66)</f>
        <v>0</v>
      </c>
      <c r="AR67" s="129"/>
      <c r="AS67" s="107">
        <f>SUM(AS58:AS66)</f>
        <v>0</v>
      </c>
    </row>
    <row r="68" spans="1:45" ht="18.75" customHeight="1" thickTop="1">
      <c r="A68" t="s">
        <v>27</v>
      </c>
      <c r="B68" s="41" t="e">
        <f>IF(C68=0,0,VLOOKUP(C68,Paramètres!$C$5:$I$43,7,FALSE))</f>
        <v>#N/A</v>
      </c>
      <c r="C68" s="131" t="s">
        <v>43</v>
      </c>
      <c r="D68" s="132"/>
      <c r="E68" s="138"/>
      <c r="F68" s="123"/>
      <c r="G68" s="123"/>
      <c r="H68" s="140"/>
      <c r="I68" s="231" t="s">
        <v>110</v>
      </c>
      <c r="J68" s="231"/>
      <c r="K68" s="140"/>
      <c r="L68" s="122"/>
      <c r="M68" s="140"/>
      <c r="N68" s="155"/>
      <c r="O68" s="155"/>
      <c r="P68" s="122"/>
      <c r="Q68" s="122"/>
      <c r="R68" s="155"/>
      <c r="S68" s="229" t="s">
        <v>125</v>
      </c>
      <c r="V68" s="192"/>
      <c r="W68" s="192"/>
      <c r="AC68" s="131" t="s">
        <v>43</v>
      </c>
      <c r="AD68" s="132"/>
      <c r="AE68" s="138"/>
      <c r="AF68" s="123"/>
      <c r="AG68" s="123"/>
      <c r="AH68" s="140"/>
      <c r="AI68" s="231" t="s">
        <v>110</v>
      </c>
      <c r="AJ68" s="231"/>
      <c r="AK68" s="140"/>
      <c r="AL68" s="122"/>
      <c r="AM68" s="140"/>
      <c r="AN68" s="155"/>
      <c r="AO68" s="155"/>
      <c r="AP68" s="122"/>
      <c r="AQ68" s="122"/>
      <c r="AR68" s="155"/>
      <c r="AS68" s="229" t="s">
        <v>125</v>
      </c>
    </row>
    <row r="69" spans="1:45" ht="27.75" customHeight="1">
      <c r="A69" t="s">
        <v>27</v>
      </c>
      <c r="B69" s="41">
        <f>IF(C69=0,0,VLOOKUP(C69,Paramètres!$C$5:$I$43,7,FALSE))</f>
        <v>0</v>
      </c>
      <c r="C69" s="137"/>
      <c r="D69" s="97" t="s">
        <v>23</v>
      </c>
      <c r="E69" s="99" t="s">
        <v>18</v>
      </c>
      <c r="F69" s="84" t="s">
        <v>123</v>
      </c>
      <c r="G69" s="84" t="s">
        <v>124</v>
      </c>
      <c r="H69" s="84" t="s">
        <v>44</v>
      </c>
      <c r="I69" s="232"/>
      <c r="J69" s="232"/>
      <c r="K69" s="99" t="s">
        <v>88</v>
      </c>
      <c r="L69" s="84" t="s">
        <v>0</v>
      </c>
      <c r="M69" s="84" t="s">
        <v>19</v>
      </c>
      <c r="N69" s="84" t="s">
        <v>6</v>
      </c>
      <c r="O69" s="99" t="s">
        <v>10</v>
      </c>
      <c r="P69" s="84" t="s">
        <v>4</v>
      </c>
      <c r="Q69" s="84" t="s">
        <v>8</v>
      </c>
      <c r="R69" s="98" t="s">
        <v>128</v>
      </c>
      <c r="S69" s="230"/>
      <c r="V69" s="192"/>
      <c r="W69" s="192"/>
      <c r="AC69" s="137"/>
      <c r="AD69" s="97" t="s">
        <v>23</v>
      </c>
      <c r="AE69" s="99" t="s">
        <v>18</v>
      </c>
      <c r="AF69" s="84" t="s">
        <v>123</v>
      </c>
      <c r="AG69" s="84" t="s">
        <v>124</v>
      </c>
      <c r="AH69" s="84" t="s">
        <v>44</v>
      </c>
      <c r="AI69" s="232"/>
      <c r="AJ69" s="232"/>
      <c r="AK69" s="99" t="s">
        <v>88</v>
      </c>
      <c r="AL69" s="84" t="s">
        <v>0</v>
      </c>
      <c r="AM69" s="84" t="s">
        <v>19</v>
      </c>
      <c r="AN69" s="84" t="s">
        <v>6</v>
      </c>
      <c r="AO69" s="99" t="s">
        <v>10</v>
      </c>
      <c r="AP69" s="84" t="s">
        <v>4</v>
      </c>
      <c r="AQ69" s="84" t="s">
        <v>8</v>
      </c>
      <c r="AR69" s="98" t="s">
        <v>128</v>
      </c>
      <c r="AS69" s="230"/>
    </row>
    <row r="70" spans="1:45" ht="12.75" customHeight="1">
      <c r="A70" t="s">
        <v>27</v>
      </c>
      <c r="B70" s="41">
        <f>IF(C70=0,0,VLOOKUP(C70,Paramètres!$C$5:$I$43,7,FALSE))</f>
        <v>0</v>
      </c>
      <c r="C70" s="75" t="s">
        <v>39</v>
      </c>
      <c r="D70" s="71"/>
      <c r="E70" s="72"/>
      <c r="F70" s="73">
        <v>40.5</v>
      </c>
      <c r="G70" s="73">
        <v>200</v>
      </c>
      <c r="H70" s="179">
        <f>F70*G70*B70</f>
        <v>0</v>
      </c>
      <c r="I70" s="180">
        <f>IF(C70=0,0,VLOOKUP(C70,Paramètres!$C$5:$H$42,3,FALSE))</f>
        <v>31.37</v>
      </c>
      <c r="J70" s="180">
        <f>IF(C70=0,0,VLOOKUP(C70,Paramètres!$C$5:$H$42,4,FALSE))</f>
        <v>32.66</v>
      </c>
      <c r="K70" s="86">
        <f>IF(C70=0,0,VLOOKUP(C70,Paramètres!$C$5:$H$42,5,FALSE))</f>
        <v>32</v>
      </c>
      <c r="L70" s="121">
        <f>H70*K70</f>
        <v>0</v>
      </c>
      <c r="M70" s="27">
        <f>IF(C70=0,0,VLOOKUP(C70,Paramètres!$C$5:$H$42,2,FALSE))</f>
        <v>20</v>
      </c>
      <c r="N70" s="11">
        <f>IF(M70=40,POWER(0.95,E70),IF(M70=35,POWER(0.94,E70),IF(M70=30,POWER(0.93,E70),IF(M70=25,POWER(0.91,E70),IF(M70=20,POWER(0.89,E70),IF(M70=15,POWER(0.87,E70),IF(M70=10,POWER(0.8,E70),0)))))))</f>
        <v>1</v>
      </c>
      <c r="O70" s="88"/>
      <c r="P70" s="28"/>
      <c r="Q70" s="103">
        <f>IF(E70=0,0,L70*N70*O70)</f>
        <v>0</v>
      </c>
      <c r="R70" s="88"/>
      <c r="S70" s="106">
        <f>R70*Q70</f>
        <v>0</v>
      </c>
      <c r="V70" s="192">
        <f>IF(Q70=0,0,L70)</f>
        <v>0</v>
      </c>
      <c r="W70" s="192"/>
      <c r="AC70" s="75" t="s">
        <v>39</v>
      </c>
      <c r="AD70" s="71"/>
      <c r="AE70" s="72"/>
      <c r="AF70" s="73">
        <v>40.5</v>
      </c>
      <c r="AG70" s="73">
        <v>200</v>
      </c>
      <c r="AH70" s="179">
        <f>AF70*AG70*AB70</f>
        <v>0</v>
      </c>
      <c r="AI70" s="180">
        <f>IF(AC70=0,0,VLOOKUP(AC70,Paramètres!$C$5:$H$42,3,FALSE))</f>
        <v>31.37</v>
      </c>
      <c r="AJ70" s="180">
        <f>IF(AC70=0,0,VLOOKUP(AC70,Paramètres!$C$5:$H$42,4,FALSE))</f>
        <v>32.66</v>
      </c>
      <c r="AK70" s="86">
        <f>IF(AC70=0,0,VLOOKUP(AC70,Paramètres!$C$5:$H$42,5,FALSE))</f>
        <v>32</v>
      </c>
      <c r="AL70" s="121">
        <f>AH70*AK70</f>
        <v>0</v>
      </c>
      <c r="AM70" s="27">
        <f>IF(AC70=0,0,VLOOKUP(AC70,Paramètres!$C$5:$H$42,2,FALSE))</f>
        <v>20</v>
      </c>
      <c r="AN70" s="11">
        <f>IF(AM70=40,POWER(0.95,AE70),IF(AM70=35,POWER(0.94,AE70),IF(AM70=30,POWER(0.93,AE70),IF(AM70=25,POWER(0.91,AE70),IF(AM70=20,POWER(0.89,AE70),IF(AM70=15,POWER(0.87,AE70),IF(AM70=10,POWER(0.8,AE70),0)))))))</f>
        <v>1</v>
      </c>
      <c r="AO70" s="88"/>
      <c r="AP70" s="28"/>
      <c r="AQ70" s="103">
        <f>IF(AE70=0,0,AL70*AN70*AO70)</f>
        <v>0</v>
      </c>
      <c r="AR70" s="88"/>
      <c r="AS70" s="106">
        <f>AR70*AQ70</f>
        <v>0</v>
      </c>
    </row>
    <row r="71" spans="1:45" ht="12.75" customHeight="1">
      <c r="A71" t="s">
        <v>27</v>
      </c>
      <c r="B71" s="41">
        <f>IF(C71=0,0,VLOOKUP(C71,Paramètres!$C$5:$I$43,7,FALSE))</f>
        <v>0</v>
      </c>
      <c r="C71" s="75" t="s">
        <v>40</v>
      </c>
      <c r="D71" s="71"/>
      <c r="E71" s="72"/>
      <c r="F71" s="73">
        <v>40.5</v>
      </c>
      <c r="G71" s="73">
        <v>200</v>
      </c>
      <c r="H71" s="179">
        <f>F71*G71*B71</f>
        <v>0</v>
      </c>
      <c r="I71" s="180">
        <f>IF(C71=0,0,VLOOKUP(C71,Paramètres!$C$5:$H$42,3,FALSE))</f>
        <v>23.37</v>
      </c>
      <c r="J71" s="180">
        <f>IF(C71=0,0,VLOOKUP(C71,Paramètres!$C$5:$H$42,4,FALSE))</f>
        <v>24.88</v>
      </c>
      <c r="K71" s="86">
        <f>IF(C71=0,0,VLOOKUP(C71,Paramètres!$C$5:$H$42,5,FALSE))</f>
        <v>24</v>
      </c>
      <c r="L71" s="121">
        <f>H71*K71</f>
        <v>0</v>
      </c>
      <c r="M71" s="27">
        <f>IF(C71=0,0,VLOOKUP(C71,Paramètres!$C$5:$H$42,2,FALSE))</f>
        <v>20</v>
      </c>
      <c r="N71" s="11">
        <f>IF(M71=40,POWER(0.95,E71),IF(M71=35,POWER(0.94,E71),IF(M71=30,POWER(0.93,E71),IF(M71=25,POWER(0.91,E71),IF(M71=20,POWER(0.89,E71),IF(M71=15,POWER(0.87,E71),IF(M71=10,POWER(0.8,E71),0)))))))</f>
        <v>1</v>
      </c>
      <c r="O71" s="88"/>
      <c r="P71" s="28"/>
      <c r="Q71" s="103">
        <f>IF(E71=0,0,L71*N71*O71)</f>
        <v>0</v>
      </c>
      <c r="R71" s="88"/>
      <c r="S71" s="106">
        <f>R71*Q71</f>
        <v>0</v>
      </c>
      <c r="V71" s="192">
        <f>IF(Q71=0,0,L71)</f>
        <v>0</v>
      </c>
      <c r="W71" s="192"/>
      <c r="AC71" s="75" t="s">
        <v>40</v>
      </c>
      <c r="AD71" s="71"/>
      <c r="AE71" s="72"/>
      <c r="AF71" s="73">
        <v>40.5</v>
      </c>
      <c r="AG71" s="73">
        <v>200</v>
      </c>
      <c r="AH71" s="179">
        <f>AF71*AG71*AB71</f>
        <v>0</v>
      </c>
      <c r="AI71" s="180">
        <f>IF(AC71=0,0,VLOOKUP(AC71,Paramètres!$C$5:$H$42,3,FALSE))</f>
        <v>23.37</v>
      </c>
      <c r="AJ71" s="180">
        <f>IF(AC71=0,0,VLOOKUP(AC71,Paramètres!$C$5:$H$42,4,FALSE))</f>
        <v>24.88</v>
      </c>
      <c r="AK71" s="86">
        <f>IF(AC71=0,0,VLOOKUP(AC71,Paramètres!$C$5:$H$42,5,FALSE))</f>
        <v>24</v>
      </c>
      <c r="AL71" s="121">
        <f>AH71*AK71</f>
        <v>0</v>
      </c>
      <c r="AM71" s="27">
        <f>IF(AC71=0,0,VLOOKUP(AC71,Paramètres!$C$5:$H$42,2,FALSE))</f>
        <v>20</v>
      </c>
      <c r="AN71" s="11">
        <f>IF(AM71=40,POWER(0.95,AE71),IF(AM71=35,POWER(0.94,AE71),IF(AM71=30,POWER(0.93,AE71),IF(AM71=25,POWER(0.91,AE71),IF(AM71=20,POWER(0.89,AE71),IF(AM71=15,POWER(0.87,AE71),IF(AM71=10,POWER(0.8,AE71),0)))))))</f>
        <v>1</v>
      </c>
      <c r="AO71" s="88"/>
      <c r="AP71" s="28"/>
      <c r="AQ71" s="103">
        <f>IF(AE71=0,0,AL71*AN71*AO71)</f>
        <v>0</v>
      </c>
      <c r="AR71" s="88"/>
      <c r="AS71" s="106">
        <f>AR71*AQ71</f>
        <v>0</v>
      </c>
    </row>
    <row r="72" spans="1:45" ht="13.5" customHeight="1">
      <c r="A72" t="s">
        <v>27</v>
      </c>
      <c r="B72" s="41">
        <f>IF(C72=0,0,VLOOKUP(C72,Paramètres!$C$5:$I$43,7,FALSE))</f>
        <v>0</v>
      </c>
      <c r="C72" s="78" t="s">
        <v>41</v>
      </c>
      <c r="D72" s="71"/>
      <c r="E72" s="72"/>
      <c r="F72" s="72">
        <v>40.5</v>
      </c>
      <c r="G72" s="79">
        <v>200</v>
      </c>
      <c r="H72" s="176">
        <f>F72*G72*B72</f>
        <v>0</v>
      </c>
      <c r="I72" s="178">
        <f>IF(C72=0,0,VLOOKUP(C72,Paramètres!$C$5:$H$42,3,FALSE))</f>
        <v>19.87</v>
      </c>
      <c r="J72" s="178">
        <f>IF(C72=0,0,VLOOKUP(C72,Paramètres!$C$5:$H$42,4,FALSE))</f>
        <v>21.6</v>
      </c>
      <c r="K72" s="74">
        <f>IF(C72=0,0,VLOOKUP(C72,Paramètres!$C$5:$H$42,5,FALSE))</f>
        <v>20.5</v>
      </c>
      <c r="L72" s="103">
        <f>H72*K72</f>
        <v>0</v>
      </c>
      <c r="M72" s="4">
        <f>IF(C72=0,0,VLOOKUP(C72,Paramètres!$C$5:$H$42,2,FALSE))</f>
        <v>20</v>
      </c>
      <c r="N72" s="11">
        <f>IF(M72=40,POWER(0.95,E72),IF(M72=35,POWER(0.94,E72),IF(M72=30,POWER(0.93,E72),IF(M72=25,POWER(0.91,E72),IF(M72=20,POWER(0.89,E72),IF(M72=15,POWER(0.87,E72),IF(M72=10,POWER(0.8,E72),0)))))))</f>
        <v>1</v>
      </c>
      <c r="O72" s="88"/>
      <c r="P72" s="5"/>
      <c r="Q72" s="103">
        <f>IF(E72=0,0,L72*N72*O72)</f>
        <v>0</v>
      </c>
      <c r="R72" s="88"/>
      <c r="S72" s="106">
        <f>R72*Q72</f>
        <v>0</v>
      </c>
      <c r="V72" s="192">
        <f>IF(Q72=0,0,L72)</f>
        <v>0</v>
      </c>
      <c r="W72" s="192"/>
      <c r="AC72" s="78" t="s">
        <v>41</v>
      </c>
      <c r="AD72" s="71"/>
      <c r="AE72" s="72"/>
      <c r="AF72" s="72">
        <v>40.5</v>
      </c>
      <c r="AG72" s="79">
        <v>200</v>
      </c>
      <c r="AH72" s="176">
        <f>AF72*AG72*AB72</f>
        <v>0</v>
      </c>
      <c r="AI72" s="178">
        <f>IF(AC72=0,0,VLOOKUP(AC72,Paramètres!$C$5:$H$42,3,FALSE))</f>
        <v>19.87</v>
      </c>
      <c r="AJ72" s="178">
        <f>IF(AC72=0,0,VLOOKUP(AC72,Paramètres!$C$5:$H$42,4,FALSE))</f>
        <v>21.6</v>
      </c>
      <c r="AK72" s="74">
        <f>IF(AC72=0,0,VLOOKUP(AC72,Paramètres!$C$5:$H$42,5,FALSE))</f>
        <v>20.5</v>
      </c>
      <c r="AL72" s="103">
        <f>AH72*AK72</f>
        <v>0</v>
      </c>
      <c r="AM72" s="4">
        <f>IF(AC72=0,0,VLOOKUP(AC72,Paramètres!$C$5:$H$42,2,FALSE))</f>
        <v>20</v>
      </c>
      <c r="AN72" s="11">
        <f>IF(AM72=40,POWER(0.95,AE72),IF(AM72=35,POWER(0.94,AE72),IF(AM72=30,POWER(0.93,AE72),IF(AM72=25,POWER(0.91,AE72),IF(AM72=20,POWER(0.89,AE72),IF(AM72=15,POWER(0.87,AE72),IF(AM72=10,POWER(0.8,AE72),0)))))))</f>
        <v>1</v>
      </c>
      <c r="AO72" s="88"/>
      <c r="AP72" s="5"/>
      <c r="AQ72" s="103">
        <f>IF(AE72=0,0,AL72*AN72*AO72)</f>
        <v>0</v>
      </c>
      <c r="AR72" s="88"/>
      <c r="AS72" s="106">
        <f>AR72*AQ72</f>
        <v>0</v>
      </c>
    </row>
    <row r="73" spans="1:45" ht="13.5" customHeight="1">
      <c r="A73" t="s">
        <v>27</v>
      </c>
      <c r="C73" s="78"/>
      <c r="D73" s="71"/>
      <c r="E73" s="72"/>
      <c r="F73" s="72"/>
      <c r="G73" s="79"/>
      <c r="H73" s="176">
        <f>F73*G73</f>
        <v>0</v>
      </c>
      <c r="I73" s="178">
        <f>IF(C73=0,0,VLOOKUP(C73,Paramètres!$C$5:$H$42,3,FALSE))</f>
        <v>0</v>
      </c>
      <c r="J73" s="178">
        <f>IF(C73=0,0,VLOOKUP(C73,Paramètres!$C$5:$H$42,4,FALSE))</f>
        <v>0</v>
      </c>
      <c r="K73" s="74">
        <f>IF(C73=0,0,VLOOKUP(C73,Paramètres!$C$5:$H$42,3,FALSE))</f>
        <v>0</v>
      </c>
      <c r="L73" s="103">
        <f>H73*K73</f>
        <v>0</v>
      </c>
      <c r="M73" s="4">
        <f>IF(C73=0,0,VLOOKUP(C73,Paramètres!$C$5:$H$42,2,FALSE))</f>
        <v>0</v>
      </c>
      <c r="N73" s="11">
        <f>IF(M73=40,POWER(0.95,E73),IF(M73=35,POWER(0.94,E73),IF(M73=30,POWER(0.93,E73),IF(M73=25,POWER(0.91,E73),IF(M73=20,POWER(0.89,E73),IF(M73=15,POWER(0.87,E73),IF(M73=10,POWER(0.8,E73),0)))))))</f>
        <v>0</v>
      </c>
      <c r="O73" s="88"/>
      <c r="P73" s="5"/>
      <c r="Q73" s="103">
        <f>IF(E73=0,0,L73*N73*O73)</f>
        <v>0</v>
      </c>
      <c r="R73" s="88"/>
      <c r="S73" s="106">
        <f>R73*Q73</f>
        <v>0</v>
      </c>
      <c r="V73" s="192">
        <f>IF(Q73=0,0,L73)</f>
        <v>0</v>
      </c>
      <c r="W73" s="192"/>
      <c r="AC73" s="78"/>
      <c r="AD73" s="71"/>
      <c r="AE73" s="72"/>
      <c r="AF73" s="72"/>
      <c r="AG73" s="79"/>
      <c r="AH73" s="176">
        <f>AF73*AG73</f>
        <v>0</v>
      </c>
      <c r="AI73" s="178">
        <f>IF(AC73=0,0,VLOOKUP(AC73,Paramètres!$C$5:$H$42,3,FALSE))</f>
        <v>0</v>
      </c>
      <c r="AJ73" s="178">
        <f>IF(AC73=0,0,VLOOKUP(AC73,Paramètres!$C$5:$H$42,4,FALSE))</f>
        <v>0</v>
      </c>
      <c r="AK73" s="74">
        <f>IF(AC73=0,0,VLOOKUP(AC73,Paramètres!$C$5:$H$42,3,FALSE))</f>
        <v>0</v>
      </c>
      <c r="AL73" s="103">
        <f>AH73*AK73</f>
        <v>0</v>
      </c>
      <c r="AM73" s="4">
        <f>IF(AC73=0,0,VLOOKUP(AC73,Paramètres!$C$5:$H$42,2,FALSE))</f>
        <v>0</v>
      </c>
      <c r="AN73" s="11">
        <f>IF(AM73=40,POWER(0.95,AE73),IF(AM73=35,POWER(0.94,AE73),IF(AM73=30,POWER(0.93,AE73),IF(AM73=25,POWER(0.91,AE73),IF(AM73=20,POWER(0.89,AE73),IF(AM73=15,POWER(0.87,AE73),IF(AM73=10,POWER(0.8,AE73),0)))))))</f>
        <v>0</v>
      </c>
      <c r="AO73" s="88"/>
      <c r="AP73" s="5"/>
      <c r="AQ73" s="103">
        <f>IF(AE73=0,0,AL73*AN73*AO73)</f>
        <v>0</v>
      </c>
      <c r="AR73" s="88"/>
      <c r="AS73" s="106">
        <f>AR73*AQ73</f>
        <v>0</v>
      </c>
    </row>
    <row r="74" spans="1:45" ht="30.75" customHeight="1" thickBot="1">
      <c r="A74" t="s">
        <v>27</v>
      </c>
      <c r="C74" s="124" t="s">
        <v>9</v>
      </c>
      <c r="D74" s="125"/>
      <c r="E74" s="126"/>
      <c r="F74" s="127"/>
      <c r="G74" s="127"/>
      <c r="H74" s="128"/>
      <c r="I74" s="128"/>
      <c r="J74" s="128"/>
      <c r="K74" s="127"/>
      <c r="L74" s="116">
        <f>$V$74</f>
        <v>0</v>
      </c>
      <c r="M74" s="125"/>
      <c r="N74" s="129"/>
      <c r="O74" s="129"/>
      <c r="P74" s="116"/>
      <c r="Q74" s="116">
        <f>SUM(Q70:Q73)</f>
        <v>0</v>
      </c>
      <c r="R74" s="129"/>
      <c r="S74" s="107">
        <f>SUM(S70:S73)</f>
        <v>0</v>
      </c>
      <c r="V74" s="192">
        <f>SUM(V70:V73)</f>
        <v>0</v>
      </c>
      <c r="W74" s="192"/>
      <c r="AC74" s="124" t="s">
        <v>9</v>
      </c>
      <c r="AD74" s="125"/>
      <c r="AE74" s="126"/>
      <c r="AF74" s="127"/>
      <c r="AG74" s="127"/>
      <c r="AH74" s="128"/>
      <c r="AI74" s="128"/>
      <c r="AJ74" s="128"/>
      <c r="AK74" s="127"/>
      <c r="AL74" s="116">
        <f>$V$74</f>
        <v>0</v>
      </c>
      <c r="AM74" s="125"/>
      <c r="AN74" s="129"/>
      <c r="AO74" s="129"/>
      <c r="AP74" s="116"/>
      <c r="AQ74" s="116">
        <f>SUM(AQ70:AQ73)</f>
        <v>0</v>
      </c>
      <c r="AR74" s="129"/>
      <c r="AS74" s="107">
        <f>SUM(AS70:AS73)</f>
        <v>0</v>
      </c>
    </row>
    <row r="75" spans="1:45" ht="18.75" customHeight="1" thickTop="1">
      <c r="A75" t="s">
        <v>28</v>
      </c>
      <c r="C75" s="131" t="s">
        <v>42</v>
      </c>
      <c r="D75" s="132"/>
      <c r="E75" s="138"/>
      <c r="F75" s="123"/>
      <c r="G75" s="123"/>
      <c r="H75" s="139"/>
      <c r="I75" s="231" t="s">
        <v>110</v>
      </c>
      <c r="J75" s="231"/>
      <c r="K75" s="123"/>
      <c r="L75" s="123"/>
      <c r="M75" s="136"/>
      <c r="N75" s="123"/>
      <c r="O75" s="123"/>
      <c r="P75" s="123"/>
      <c r="Q75" s="123"/>
      <c r="R75" s="123"/>
      <c r="S75" s="229" t="s">
        <v>125</v>
      </c>
      <c r="V75" s="192"/>
      <c r="W75" s="192"/>
      <c r="AC75" s="131" t="s">
        <v>42</v>
      </c>
      <c r="AD75" s="132"/>
      <c r="AE75" s="138"/>
      <c r="AF75" s="123"/>
      <c r="AG75" s="123"/>
      <c r="AH75" s="139"/>
      <c r="AI75" s="231" t="s">
        <v>110</v>
      </c>
      <c r="AJ75" s="231"/>
      <c r="AK75" s="123"/>
      <c r="AL75" s="123"/>
      <c r="AM75" s="136"/>
      <c r="AN75" s="123"/>
      <c r="AO75" s="123"/>
      <c r="AP75" s="123"/>
      <c r="AQ75" s="123"/>
      <c r="AR75" s="123"/>
      <c r="AS75" s="229" t="s">
        <v>125</v>
      </c>
    </row>
    <row r="76" spans="1:45" ht="45.75" customHeight="1">
      <c r="A76" t="s">
        <v>28</v>
      </c>
      <c r="C76" s="137"/>
      <c r="D76" s="97" t="s">
        <v>23</v>
      </c>
      <c r="E76" s="99" t="s">
        <v>18</v>
      </c>
      <c r="F76" s="84" t="s">
        <v>44</v>
      </c>
      <c r="G76" s="97"/>
      <c r="H76" s="152"/>
      <c r="I76" s="232"/>
      <c r="J76" s="232"/>
      <c r="K76" s="99" t="s">
        <v>88</v>
      </c>
      <c r="L76" s="84" t="s">
        <v>0</v>
      </c>
      <c r="M76" s="84" t="s">
        <v>19</v>
      </c>
      <c r="N76" s="84" t="s">
        <v>6</v>
      </c>
      <c r="O76" s="99" t="s">
        <v>10</v>
      </c>
      <c r="P76" s="84" t="s">
        <v>4</v>
      </c>
      <c r="Q76" s="84" t="s">
        <v>8</v>
      </c>
      <c r="R76" s="98" t="s">
        <v>128</v>
      </c>
      <c r="S76" s="230"/>
      <c r="V76" s="192"/>
      <c r="W76" s="192"/>
      <c r="AC76" s="137"/>
      <c r="AD76" s="97" t="s">
        <v>23</v>
      </c>
      <c r="AE76" s="99" t="s">
        <v>18</v>
      </c>
      <c r="AF76" s="84" t="s">
        <v>44</v>
      </c>
      <c r="AG76" s="97"/>
      <c r="AH76" s="152"/>
      <c r="AI76" s="232"/>
      <c r="AJ76" s="232"/>
      <c r="AK76" s="99" t="s">
        <v>88</v>
      </c>
      <c r="AL76" s="84" t="s">
        <v>0</v>
      </c>
      <c r="AM76" s="84" t="s">
        <v>19</v>
      </c>
      <c r="AN76" s="84" t="s">
        <v>6</v>
      </c>
      <c r="AO76" s="99" t="s">
        <v>10</v>
      </c>
      <c r="AP76" s="84" t="s">
        <v>4</v>
      </c>
      <c r="AQ76" s="84" t="s">
        <v>8</v>
      </c>
      <c r="AR76" s="98" t="s">
        <v>128</v>
      </c>
      <c r="AS76" s="230"/>
    </row>
    <row r="77" spans="1:45" ht="13.5" customHeight="1">
      <c r="A77" t="s">
        <v>28</v>
      </c>
      <c r="C77" s="75" t="s">
        <v>160</v>
      </c>
      <c r="D77" s="71"/>
      <c r="E77" s="72"/>
      <c r="F77" s="87">
        <v>20000</v>
      </c>
      <c r="G77" s="104"/>
      <c r="H77" s="40"/>
      <c r="I77" s="4">
        <f>IF(C77=0,0,VLOOKUP(C77,Paramètres!$C$5:$H$42,3,FALSE))</f>
        <v>63.83</v>
      </c>
      <c r="J77" s="36">
        <f>IF(C77=0,0,VLOOKUP(C77,Paramètres!$C$5:$H$42,4,FALSE))</f>
        <v>68</v>
      </c>
      <c r="K77" s="73">
        <f>IF(C77=0,0,VLOOKUP(C77,Paramètres!$C$5:$H$42,5,FALSE))</f>
        <v>65</v>
      </c>
      <c r="L77" s="103">
        <f>F77*K77</f>
        <v>1300000</v>
      </c>
      <c r="M77" s="27">
        <f>IF(C77=0,0,VLOOKUP(C77,Paramètres!$C$5:$H$42,2,FALSE))</f>
        <v>25</v>
      </c>
      <c r="N77" s="11">
        <f>IF(M77=40,POWER(0.95,E77),IF(M77=35,POWER(0.94,E77),IF(M77=30,POWER(0.93,E77),IF(M77=25,POWER(0.91,E77),IF(M77=20,POWER(0.89,E77),IF(M77=15,POWER(0.87,E77),IF(M77=10,POWER(0.8,E77),0)))))))</f>
        <v>1</v>
      </c>
      <c r="O77" s="88"/>
      <c r="P77" s="5">
        <f>L77*N77*O77</f>
        <v>0</v>
      </c>
      <c r="Q77" s="103">
        <f>IF(E77=0,0,L77*N77*O77)</f>
        <v>0</v>
      </c>
      <c r="R77" s="88"/>
      <c r="S77" s="106">
        <f>Q77*R77</f>
        <v>0</v>
      </c>
      <c r="V77" s="192">
        <f>IF(Q77=0,0,L77)</f>
        <v>0</v>
      </c>
      <c r="W77" s="192"/>
      <c r="AC77" s="75" t="s">
        <v>37</v>
      </c>
      <c r="AD77" s="71"/>
      <c r="AE77" s="72"/>
      <c r="AF77" s="87">
        <v>20000</v>
      </c>
      <c r="AG77" s="104"/>
      <c r="AH77" s="40"/>
      <c r="AI77" s="4" t="e">
        <f>IF(AC77=0,0,VLOOKUP(AC77,Paramètres!$C$5:$H$42,3,FALSE))</f>
        <v>#N/A</v>
      </c>
      <c r="AJ77" s="36" t="e">
        <f>IF(AC77=0,0,VLOOKUP(AC77,Paramètres!$C$5:$H$42,4,FALSE))</f>
        <v>#N/A</v>
      </c>
      <c r="AK77" s="73" t="e">
        <f>IF(AC77=0,0,VLOOKUP(AC77,Paramètres!$C$5:$H$42,5,FALSE))</f>
        <v>#N/A</v>
      </c>
      <c r="AL77" s="103" t="e">
        <f>AF77*AK77</f>
        <v>#N/A</v>
      </c>
      <c r="AM77" s="27" t="e">
        <f>IF(AC77=0,0,VLOOKUP(AC77,Paramètres!$C$5:$H$42,2,FALSE))</f>
        <v>#N/A</v>
      </c>
      <c r="AN77" s="11" t="e">
        <f>IF(AM77=40,POWER(0.95,AE77),IF(AM77=35,POWER(0.94,AE77),IF(AM77=30,POWER(0.93,AE77),IF(AM77=25,POWER(0.91,AE77),IF(AM77=20,POWER(0.89,AE77),IF(AM77=15,POWER(0.87,AE77),IF(AM77=10,POWER(0.8,AE77),0)))))))</f>
        <v>#N/A</v>
      </c>
      <c r="AO77" s="88"/>
      <c r="AP77" s="5" t="e">
        <f>AL77*AN77*AO77</f>
        <v>#N/A</v>
      </c>
      <c r="AQ77" s="103">
        <f>IF(AE77=0,0,AL77*AN77*AO77)</f>
        <v>0</v>
      </c>
      <c r="AR77" s="88"/>
      <c r="AS77" s="106">
        <f>AQ77*AR77</f>
        <v>0</v>
      </c>
    </row>
    <row r="78" spans="1:45" ht="13.5" customHeight="1">
      <c r="A78" t="s">
        <v>28</v>
      </c>
      <c r="C78" s="75" t="s">
        <v>3</v>
      </c>
      <c r="D78" s="71"/>
      <c r="E78" s="72"/>
      <c r="F78" s="87">
        <v>5000</v>
      </c>
      <c r="G78" s="104"/>
      <c r="H78" s="40"/>
      <c r="I78" s="4">
        <f>IF(C78=0,0,VLOOKUP(C78,Paramètres!$C$5:$H$42,3,FALSE))</f>
        <v>52.67</v>
      </c>
      <c r="J78" s="36">
        <f>IF(C78=0,0,VLOOKUP(C78,Paramètres!$C$5:$H$42,4,FALSE))</f>
        <v>61.6</v>
      </c>
      <c r="K78" s="73">
        <f>IF(C78=0,0,VLOOKUP(C78,Paramètres!$C$5:$H$42,5,FALSE))</f>
        <v>59</v>
      </c>
      <c r="L78" s="103">
        <f>F78*K78</f>
        <v>295000</v>
      </c>
      <c r="M78" s="27">
        <f>IF(C78=0,0,VLOOKUP(C78,Paramètres!$C$5:$H$42,2,FALSE))</f>
        <v>25</v>
      </c>
      <c r="N78" s="11">
        <f>IF(M78=40,POWER(0.95,E78),IF(M78=35,POWER(0.94,E78),IF(M78=30,POWER(0.93,E78),IF(M78=25,POWER(0.91,E78),IF(M78=20,POWER(0.89,E78),IF(M78=15,POWER(0.87,E78),IF(M78=10,POWER(0.8,E78),0)))))))</f>
        <v>1</v>
      </c>
      <c r="O78" s="88"/>
      <c r="P78" s="5">
        <f>L78*N78*O78</f>
        <v>0</v>
      </c>
      <c r="Q78" s="103">
        <f>IF(E78=0,0,L78*N78*O78)</f>
        <v>0</v>
      </c>
      <c r="R78" s="88"/>
      <c r="S78" s="106">
        <f>Q78*R78</f>
        <v>0</v>
      </c>
      <c r="V78" s="192">
        <f>IF(Q78=0,0,L78)</f>
        <v>0</v>
      </c>
      <c r="W78" s="192"/>
      <c r="AC78" s="75" t="s">
        <v>3</v>
      </c>
      <c r="AD78" s="71"/>
      <c r="AE78" s="72"/>
      <c r="AF78" s="87">
        <v>5000</v>
      </c>
      <c r="AG78" s="104"/>
      <c r="AH78" s="40"/>
      <c r="AI78" s="4">
        <f>IF(AC78=0,0,VLOOKUP(AC78,Paramètres!$C$5:$H$42,3,FALSE))</f>
        <v>52.67</v>
      </c>
      <c r="AJ78" s="36">
        <f>IF(AC78=0,0,VLOOKUP(AC78,Paramètres!$C$5:$H$42,4,FALSE))</f>
        <v>61.6</v>
      </c>
      <c r="AK78" s="73">
        <f>IF(AC78=0,0,VLOOKUP(AC78,Paramètres!$C$5:$H$42,5,FALSE))</f>
        <v>59</v>
      </c>
      <c r="AL78" s="103">
        <f>AF78*AK78</f>
        <v>295000</v>
      </c>
      <c r="AM78" s="27">
        <f>IF(AC78=0,0,VLOOKUP(AC78,Paramètres!$C$5:$H$42,2,FALSE))</f>
        <v>25</v>
      </c>
      <c r="AN78" s="11">
        <f>IF(AM78=40,POWER(0.95,AE78),IF(AM78=35,POWER(0.94,AE78),IF(AM78=30,POWER(0.93,AE78),IF(AM78=25,POWER(0.91,AE78),IF(AM78=20,POWER(0.89,AE78),IF(AM78=15,POWER(0.87,AE78),IF(AM78=10,POWER(0.8,AE78),0)))))))</f>
        <v>1</v>
      </c>
      <c r="AO78" s="88"/>
      <c r="AP78" s="5">
        <f>AL78*AN78*AO78</f>
        <v>0</v>
      </c>
      <c r="AQ78" s="103">
        <f>IF(AE78=0,0,AL78*AN78*AO78)</f>
        <v>0</v>
      </c>
      <c r="AR78" s="88"/>
      <c r="AS78" s="106">
        <f>AQ78*AR78</f>
        <v>0</v>
      </c>
    </row>
    <row r="79" spans="1:45" ht="13.5" customHeight="1">
      <c r="A79" t="s">
        <v>28</v>
      </c>
      <c r="C79" s="75" t="s">
        <v>159</v>
      </c>
      <c r="D79" s="71"/>
      <c r="E79" s="72"/>
      <c r="F79" s="87">
        <v>13500</v>
      </c>
      <c r="G79" s="104"/>
      <c r="H79" s="40"/>
      <c r="I79" s="4">
        <f>IF(C79=0,0,VLOOKUP(C79,Paramètres!$C$5:$H$42,3,FALSE))</f>
        <v>38.66</v>
      </c>
      <c r="J79" s="36">
        <f>IF(C79=0,0,VLOOKUP(C79,Paramètres!$C$5:$H$42,4,FALSE))</f>
        <v>43.6</v>
      </c>
      <c r="K79" s="73">
        <f>IF(C79=0,0,VLOOKUP(C79,Paramètres!$C$5:$H$42,5,FALSE))</f>
        <v>40</v>
      </c>
      <c r="L79" s="103">
        <f>F79*K79</f>
        <v>540000</v>
      </c>
      <c r="M79" s="27">
        <f>IF(C79=0,0,VLOOKUP(C79,Paramètres!$C$5:$H$42,2,FALSE))</f>
        <v>25</v>
      </c>
      <c r="N79" s="11">
        <f>IF(M79=40,POWER(0.95,E79),IF(M79=35,POWER(0.94,E79),IF(M79=30,POWER(0.93,E79),IF(M79=25,POWER(0.91,E79),IF(M79=20,POWER(0.89,E79),IF(M79=15,POWER(0.87,E79),IF(M79=10,POWER(0.8,E79),0)))))))</f>
        <v>1</v>
      </c>
      <c r="O79" s="88"/>
      <c r="P79" s="5">
        <f>L79*N79*O79</f>
        <v>0</v>
      </c>
      <c r="Q79" s="103">
        <f>IF(E79=0,0,L79*N79*O79)</f>
        <v>0</v>
      </c>
      <c r="R79" s="88"/>
      <c r="S79" s="106">
        <f>Q79*R79</f>
        <v>0</v>
      </c>
      <c r="V79" s="192">
        <f>IF(Q79=0,0,L79)</f>
        <v>0</v>
      </c>
      <c r="W79" s="192"/>
      <c r="AC79" s="75" t="s">
        <v>38</v>
      </c>
      <c r="AD79" s="71"/>
      <c r="AE79" s="72"/>
      <c r="AF79" s="87">
        <v>13500</v>
      </c>
      <c r="AG79" s="104"/>
      <c r="AH79" s="40"/>
      <c r="AI79" s="4" t="e">
        <f>IF(AC79=0,0,VLOOKUP(AC79,Paramètres!$C$5:$H$42,3,FALSE))</f>
        <v>#N/A</v>
      </c>
      <c r="AJ79" s="36" t="e">
        <f>IF(AC79=0,0,VLOOKUP(AC79,Paramètres!$C$5:$H$42,4,FALSE))</f>
        <v>#N/A</v>
      </c>
      <c r="AK79" s="73" t="e">
        <f>IF(AC79=0,0,VLOOKUP(AC79,Paramètres!$C$5:$H$42,5,FALSE))</f>
        <v>#N/A</v>
      </c>
      <c r="AL79" s="103" t="e">
        <f>AF79*AK79</f>
        <v>#N/A</v>
      </c>
      <c r="AM79" s="27" t="e">
        <f>IF(AC79=0,0,VLOOKUP(AC79,Paramètres!$C$5:$H$42,2,FALSE))</f>
        <v>#N/A</v>
      </c>
      <c r="AN79" s="11" t="e">
        <f>IF(AM79=40,POWER(0.95,AE79),IF(AM79=35,POWER(0.94,AE79),IF(AM79=30,POWER(0.93,AE79),IF(AM79=25,POWER(0.91,AE79),IF(AM79=20,POWER(0.89,AE79),IF(AM79=15,POWER(0.87,AE79),IF(AM79=10,POWER(0.8,AE79),0)))))))</f>
        <v>#N/A</v>
      </c>
      <c r="AO79" s="88"/>
      <c r="AP79" s="5" t="e">
        <f>AL79*AN79*AO79</f>
        <v>#N/A</v>
      </c>
      <c r="AQ79" s="103">
        <f>IF(AE79=0,0,AL79*AN79*AO79)</f>
        <v>0</v>
      </c>
      <c r="AR79" s="88"/>
      <c r="AS79" s="106">
        <f>AQ79*AR79</f>
        <v>0</v>
      </c>
    </row>
    <row r="80" spans="1:45" ht="13.5" customHeight="1">
      <c r="A80" t="s">
        <v>28</v>
      </c>
      <c r="C80" s="75"/>
      <c r="D80" s="71"/>
      <c r="E80" s="72"/>
      <c r="F80" s="87">
        <v>0</v>
      </c>
      <c r="G80" s="104"/>
      <c r="H80" s="40"/>
      <c r="I80" s="4">
        <f>IF(C80=0,0,VLOOKUP(C80,Paramètres!$C$5:$H$42,3,FALSE))</f>
        <v>0</v>
      </c>
      <c r="J80" s="4">
        <f>IF(C80=0,0,VLOOKUP(C80,Paramètres!$C$5:$H$42,4,FALSE))</f>
        <v>0</v>
      </c>
      <c r="K80" s="73">
        <f>IF(C80=0,0,VLOOKUP(C80,Paramètres!$C$5:$H$42,5,FALSE))</f>
        <v>0</v>
      </c>
      <c r="L80" s="103">
        <f>F80*K80</f>
        <v>0</v>
      </c>
      <c r="M80" s="27">
        <f>IF(C80=0,0,VLOOKUP(C80,Paramètres!$C$5:$H$42,2,FALSE))</f>
        <v>0</v>
      </c>
      <c r="N80" s="11">
        <f>IF(M80=40,POWER(0.95,E80),IF(M80=35,POWER(0.94,E80),IF(M80=30,POWER(0.93,E80),IF(M80=25,POWER(0.91,E80),IF(M80=20,POWER(0.89,E80),IF(M80=15,POWER(0.87,E80),IF(M80=10,POWER(0.8,E80),0)))))))</f>
        <v>0</v>
      </c>
      <c r="O80" s="88"/>
      <c r="P80" s="5">
        <f>L80*N80*O80</f>
        <v>0</v>
      </c>
      <c r="Q80" s="103">
        <f>IF(E80=0,0,L80*N80*O80)</f>
        <v>0</v>
      </c>
      <c r="R80" s="88"/>
      <c r="S80" s="106">
        <f>Q80*R80</f>
        <v>0</v>
      </c>
      <c r="V80" s="192">
        <f>IF(Q80=0,0,L80)</f>
        <v>0</v>
      </c>
      <c r="W80" s="192"/>
      <c r="AC80" s="75"/>
      <c r="AD80" s="71"/>
      <c r="AE80" s="72"/>
      <c r="AF80" s="87">
        <v>0</v>
      </c>
      <c r="AG80" s="104"/>
      <c r="AH80" s="40"/>
      <c r="AI80" s="4">
        <f>IF(AC80=0,0,VLOOKUP(AC80,Paramètres!$C$5:$H$42,3,FALSE))</f>
        <v>0</v>
      </c>
      <c r="AJ80" s="4">
        <f>IF(AC80=0,0,VLOOKUP(AC80,Paramètres!$C$5:$H$42,4,FALSE))</f>
        <v>0</v>
      </c>
      <c r="AK80" s="73">
        <f>IF(AC80=0,0,VLOOKUP(AC80,Paramètres!$C$5:$H$42,5,FALSE))</f>
        <v>0</v>
      </c>
      <c r="AL80" s="103">
        <f>AF80*AK80</f>
        <v>0</v>
      </c>
      <c r="AM80" s="27">
        <f>IF(AC80=0,0,VLOOKUP(AC80,Paramètres!$C$5:$H$42,2,FALSE))</f>
        <v>0</v>
      </c>
      <c r="AN80" s="11">
        <f>IF(AM80=40,POWER(0.95,AE80),IF(AM80=35,POWER(0.94,AE80),IF(AM80=30,POWER(0.93,AE80),IF(AM80=25,POWER(0.91,AE80),IF(AM80=20,POWER(0.89,AE80),IF(AM80=15,POWER(0.87,AE80),IF(AM80=10,POWER(0.8,AE80),0)))))))</f>
        <v>0</v>
      </c>
      <c r="AO80" s="88"/>
      <c r="AP80" s="5">
        <f>AL80*AN80*AO80</f>
        <v>0</v>
      </c>
      <c r="AQ80" s="103">
        <f>IF(AE80=0,0,AL80*AN80*AO80)</f>
        <v>0</v>
      </c>
      <c r="AR80" s="88"/>
      <c r="AS80" s="106">
        <f>AQ80*AR80</f>
        <v>0</v>
      </c>
    </row>
    <row r="81" spans="1:45" ht="21" customHeight="1" thickBot="1">
      <c r="A81" t="s">
        <v>28</v>
      </c>
      <c r="C81" s="124" t="s">
        <v>9</v>
      </c>
      <c r="D81" s="125"/>
      <c r="E81" s="127"/>
      <c r="F81" s="127"/>
      <c r="G81" s="127"/>
      <c r="H81" s="128"/>
      <c r="I81" s="128"/>
      <c r="J81" s="128"/>
      <c r="K81" s="127"/>
      <c r="L81" s="116">
        <f>$V$81</f>
        <v>0</v>
      </c>
      <c r="M81" s="125"/>
      <c r="N81" s="129"/>
      <c r="O81" s="129"/>
      <c r="P81" s="130"/>
      <c r="Q81" s="116">
        <f>SUM(Q77:Q80)</f>
        <v>0</v>
      </c>
      <c r="R81" s="129"/>
      <c r="S81" s="107">
        <f>SUM(S77:S80)</f>
        <v>0</v>
      </c>
      <c r="V81" s="192">
        <f>SUM(V77:V80)</f>
        <v>0</v>
      </c>
      <c r="W81" s="192"/>
      <c r="AC81" s="124" t="s">
        <v>9</v>
      </c>
      <c r="AD81" s="125"/>
      <c r="AE81" s="127"/>
      <c r="AF81" s="127"/>
      <c r="AG81" s="127"/>
      <c r="AH81" s="128"/>
      <c r="AI81" s="128"/>
      <c r="AJ81" s="128"/>
      <c r="AK81" s="127"/>
      <c r="AL81" s="116">
        <f>$V$81</f>
        <v>0</v>
      </c>
      <c r="AM81" s="125"/>
      <c r="AN81" s="129"/>
      <c r="AO81" s="129"/>
      <c r="AP81" s="130"/>
      <c r="AQ81" s="116">
        <f>SUM(AQ77:AQ80)</f>
        <v>0</v>
      </c>
      <c r="AR81" s="129"/>
      <c r="AS81" s="107">
        <f>SUM(AS77:AS80)</f>
        <v>0</v>
      </c>
    </row>
    <row r="82" spans="1:45" ht="18.75" customHeight="1" thickTop="1">
      <c r="A82" t="s">
        <v>96</v>
      </c>
      <c r="C82" s="131" t="s">
        <v>94</v>
      </c>
      <c r="D82" s="132"/>
      <c r="E82" s="138"/>
      <c r="F82" s="123"/>
      <c r="G82" s="123"/>
      <c r="H82" s="139"/>
      <c r="I82" s="231" t="s">
        <v>111</v>
      </c>
      <c r="J82" s="231"/>
      <c r="K82" s="90"/>
      <c r="L82" s="120"/>
      <c r="M82" s="90"/>
      <c r="N82" s="153"/>
      <c r="O82" s="153"/>
      <c r="P82" s="120"/>
      <c r="Q82" s="120"/>
      <c r="R82" s="153"/>
      <c r="S82" s="229" t="s">
        <v>125</v>
      </c>
      <c r="V82" s="192"/>
      <c r="W82" s="192"/>
      <c r="AC82" s="131" t="s">
        <v>94</v>
      </c>
      <c r="AD82" s="132"/>
      <c r="AE82" s="138"/>
      <c r="AF82" s="123"/>
      <c r="AG82" s="123"/>
      <c r="AH82" s="139"/>
      <c r="AI82" s="231" t="s">
        <v>111</v>
      </c>
      <c r="AJ82" s="231"/>
      <c r="AK82" s="90"/>
      <c r="AL82" s="120"/>
      <c r="AM82" s="90"/>
      <c r="AN82" s="153"/>
      <c r="AO82" s="153"/>
      <c r="AP82" s="120"/>
      <c r="AQ82" s="120"/>
      <c r="AR82" s="153"/>
      <c r="AS82" s="229" t="s">
        <v>125</v>
      </c>
    </row>
    <row r="83" spans="1:45" ht="45.75" customHeight="1">
      <c r="A83" t="s">
        <v>96</v>
      </c>
      <c r="C83" s="137"/>
      <c r="D83" s="97" t="s">
        <v>23</v>
      </c>
      <c r="E83" s="99" t="s">
        <v>18</v>
      </c>
      <c r="F83" s="84" t="s">
        <v>44</v>
      </c>
      <c r="G83" s="97"/>
      <c r="H83" s="152"/>
      <c r="I83" s="232"/>
      <c r="J83" s="232"/>
      <c r="K83" s="99" t="s">
        <v>88</v>
      </c>
      <c r="L83" s="84" t="s">
        <v>0</v>
      </c>
      <c r="M83" s="84" t="s">
        <v>19</v>
      </c>
      <c r="N83" s="84" t="s">
        <v>6</v>
      </c>
      <c r="O83" s="99" t="s">
        <v>10</v>
      </c>
      <c r="P83" s="84" t="s">
        <v>4</v>
      </c>
      <c r="Q83" s="84" t="s">
        <v>8</v>
      </c>
      <c r="R83" s="98" t="s">
        <v>128</v>
      </c>
      <c r="S83" s="230"/>
      <c r="V83" s="192"/>
      <c r="W83" s="192"/>
      <c r="AC83" s="137"/>
      <c r="AD83" s="97" t="s">
        <v>23</v>
      </c>
      <c r="AE83" s="99" t="s">
        <v>18</v>
      </c>
      <c r="AF83" s="84" t="s">
        <v>44</v>
      </c>
      <c r="AG83" s="97"/>
      <c r="AH83" s="152"/>
      <c r="AI83" s="232"/>
      <c r="AJ83" s="232"/>
      <c r="AK83" s="99" t="s">
        <v>88</v>
      </c>
      <c r="AL83" s="84" t="s">
        <v>0</v>
      </c>
      <c r="AM83" s="84" t="s">
        <v>19</v>
      </c>
      <c r="AN83" s="84" t="s">
        <v>6</v>
      </c>
      <c r="AO83" s="99" t="s">
        <v>10</v>
      </c>
      <c r="AP83" s="84" t="s">
        <v>4</v>
      </c>
      <c r="AQ83" s="84" t="s">
        <v>8</v>
      </c>
      <c r="AR83" s="98" t="s">
        <v>128</v>
      </c>
      <c r="AS83" s="230"/>
    </row>
    <row r="84" spans="1:45" ht="13.5" customHeight="1">
      <c r="A84" t="s">
        <v>96</v>
      </c>
      <c r="C84" s="75" t="s">
        <v>95</v>
      </c>
      <c r="D84" s="71"/>
      <c r="E84" s="72"/>
      <c r="F84" s="87">
        <v>1581</v>
      </c>
      <c r="G84" s="104"/>
      <c r="H84" s="37"/>
      <c r="I84" s="36">
        <f>IF(C84=0,0,VLOOKUP(C84,Paramètres!$C$5:$H$42,3,FALSE))</f>
        <v>41.02</v>
      </c>
      <c r="J84" s="36">
        <f>IF(C84=0,0,VLOOKUP(C84,Paramètres!$C$5:$H$42,4,FALSE))</f>
        <v>60.78</v>
      </c>
      <c r="K84" s="74">
        <f>IF(C84=0,0,VLOOKUP(C84,Paramètres!$C$5:$H$42,5,FALSE))</f>
        <v>41.27</v>
      </c>
      <c r="L84" s="103">
        <f>F84*K84</f>
        <v>65247.87</v>
      </c>
      <c r="M84" s="27">
        <f>IF(C84=0,0,VLOOKUP(C84,Paramètres!$C$5:$H$42,2,FALSE))</f>
        <v>40</v>
      </c>
      <c r="N84" s="11">
        <f>IF(M84=40,POWER(0.95,E84),IF(M84=35,POWER(0.94,E84),IF(M84=30,POWER(0.93,E84),IF(M84=25,POWER(0.91,E84),IF(M84=20,POWER(0.89,E84),IF(M84=15,POWER(0.87,E84),IF(M84=10,POWER(0.8,E84),0)))))))</f>
        <v>1</v>
      </c>
      <c r="O84" s="88"/>
      <c r="P84" s="5"/>
      <c r="Q84" s="103">
        <f>IF(E84=0,0,L84*N84*O84)</f>
        <v>0</v>
      </c>
      <c r="R84" s="88"/>
      <c r="S84" s="106">
        <f>Q84*R84</f>
        <v>0</v>
      </c>
      <c r="V84" s="192">
        <f>IF(Q84=0,0,L84)</f>
        <v>0</v>
      </c>
      <c r="W84" s="192"/>
      <c r="AC84" s="75" t="s">
        <v>95</v>
      </c>
      <c r="AD84" s="71"/>
      <c r="AE84" s="72"/>
      <c r="AF84" s="87">
        <v>1581</v>
      </c>
      <c r="AG84" s="104"/>
      <c r="AH84" s="37"/>
      <c r="AI84" s="36">
        <f>IF(AC84=0,0,VLOOKUP(AC84,Paramètres!$C$5:$H$42,3,FALSE))</f>
        <v>41.02</v>
      </c>
      <c r="AJ84" s="36">
        <f>IF(AC84=0,0,VLOOKUP(AC84,Paramètres!$C$5:$H$42,4,FALSE))</f>
        <v>60.78</v>
      </c>
      <c r="AK84" s="74">
        <f>IF(AC84=0,0,VLOOKUP(AC84,Paramètres!$C$5:$H$42,5,FALSE))</f>
        <v>41.27</v>
      </c>
      <c r="AL84" s="103">
        <f>AF84*AK84</f>
        <v>65247.87</v>
      </c>
      <c r="AM84" s="27">
        <f>IF(AC84=0,0,VLOOKUP(AC84,Paramètres!$C$5:$H$42,2,FALSE))</f>
        <v>40</v>
      </c>
      <c r="AN84" s="11">
        <f>IF(AM84=40,POWER(0.95,AE84),IF(AM84=35,POWER(0.94,AE84),IF(AM84=30,POWER(0.93,AE84),IF(AM84=25,POWER(0.91,AE84),IF(AM84=20,POWER(0.89,AE84),IF(AM84=15,POWER(0.87,AE84),IF(AM84=10,POWER(0.8,AE84),0)))))))</f>
        <v>1</v>
      </c>
      <c r="AO84" s="88"/>
      <c r="AP84" s="5"/>
      <c r="AQ84" s="103">
        <f>IF(AE84=0,0,AL84*AN84*AO84)</f>
        <v>0</v>
      </c>
      <c r="AR84" s="88"/>
      <c r="AS84" s="106">
        <f>AQ84*AR84</f>
        <v>0</v>
      </c>
    </row>
    <row r="85" spans="1:45" s="2" customFormat="1" ht="13.5" customHeight="1">
      <c r="A85" s="2" t="s">
        <v>96</v>
      </c>
      <c r="C85" s="75" t="s">
        <v>92</v>
      </c>
      <c r="D85" s="71"/>
      <c r="E85" s="72"/>
      <c r="F85" s="87">
        <v>7000</v>
      </c>
      <c r="G85" s="104"/>
      <c r="H85" s="37"/>
      <c r="I85" s="36">
        <f>IF(C85=0,0,VLOOKUP(C85,Paramètres!$C$5:$H$42,3,FALSE))</f>
        <v>30.84</v>
      </c>
      <c r="J85" s="36">
        <f>IF(C85=0,0,VLOOKUP(C85,Paramètres!$C$5:$H$42,4,FALSE))</f>
        <v>38.5</v>
      </c>
      <c r="K85" s="74">
        <f>IF(C85=0,0,VLOOKUP(C85,Paramètres!$C$5:$H$42,5,FALSE))</f>
        <v>34.65</v>
      </c>
      <c r="L85" s="103">
        <f>F85*K85</f>
        <v>242550</v>
      </c>
      <c r="M85" s="27">
        <f>IF(C85=0,0,VLOOKUP(C85,Paramètres!$C$5:$H$42,2,FALSE))</f>
        <v>30</v>
      </c>
      <c r="N85" s="11">
        <f>IF(M85=40,POWER(0.95,E85),IF(M85=35,POWER(0.94,E85),IF(M85=30,POWER(0.93,E85),IF(M85=25,POWER(0.91,E85),IF(M85=20,POWER(0.89,E85),IF(M85=15,POWER(0.87,E85),IF(M85=10,POWER(0.8,E85),0)))))))</f>
        <v>1</v>
      </c>
      <c r="O85" s="88"/>
      <c r="P85" s="5"/>
      <c r="Q85" s="103">
        <f>IF(E85=0,0,L85*N85*O85)</f>
        <v>0</v>
      </c>
      <c r="R85" s="88"/>
      <c r="S85" s="106">
        <f>Q85*R85</f>
        <v>0</v>
      </c>
      <c r="V85" s="192">
        <f>IF(Q85=0,0,L85)</f>
        <v>0</v>
      </c>
      <c r="W85" s="191"/>
      <c r="AC85" s="75" t="s">
        <v>92</v>
      </c>
      <c r="AD85" s="71"/>
      <c r="AE85" s="72"/>
      <c r="AF85" s="87">
        <v>7000</v>
      </c>
      <c r="AG85" s="104"/>
      <c r="AH85" s="37"/>
      <c r="AI85" s="36">
        <f>IF(AC85=0,0,VLOOKUP(AC85,Paramètres!$C$5:$H$42,3,FALSE))</f>
        <v>30.84</v>
      </c>
      <c r="AJ85" s="36">
        <f>IF(AC85=0,0,VLOOKUP(AC85,Paramètres!$C$5:$H$42,4,FALSE))</f>
        <v>38.5</v>
      </c>
      <c r="AK85" s="74">
        <f>IF(AC85=0,0,VLOOKUP(AC85,Paramètres!$C$5:$H$42,5,FALSE))</f>
        <v>34.65</v>
      </c>
      <c r="AL85" s="103">
        <f>AF85*AK85</f>
        <v>242550</v>
      </c>
      <c r="AM85" s="27">
        <f>IF(AC85=0,0,VLOOKUP(AC85,Paramètres!$C$5:$H$42,2,FALSE))</f>
        <v>30</v>
      </c>
      <c r="AN85" s="11">
        <f>IF(AM85=40,POWER(0.95,AE85),IF(AM85=35,POWER(0.94,AE85),IF(AM85=30,POWER(0.93,AE85),IF(AM85=25,POWER(0.91,AE85),IF(AM85=20,POWER(0.89,AE85),IF(AM85=15,POWER(0.87,AE85),IF(AM85=10,POWER(0.8,AE85),0)))))))</f>
        <v>1</v>
      </c>
      <c r="AO85" s="88"/>
      <c r="AP85" s="5"/>
      <c r="AQ85" s="103">
        <f>IF(AE85=0,0,AL85*AN85*AO85)</f>
        <v>0</v>
      </c>
      <c r="AR85" s="88"/>
      <c r="AS85" s="106">
        <f>AQ85*AR85</f>
        <v>0</v>
      </c>
    </row>
    <row r="86" spans="1:45" ht="13.5" customHeight="1">
      <c r="A86" t="s">
        <v>96</v>
      </c>
      <c r="C86" s="78" t="s">
        <v>93</v>
      </c>
      <c r="D86" s="71"/>
      <c r="E86" s="72"/>
      <c r="F86" s="87">
        <v>16145</v>
      </c>
      <c r="G86" s="151"/>
      <c r="H86" s="24"/>
      <c r="I86" s="39">
        <f>IF(C86=0,0,VLOOKUP(C86,Paramètres!$C$5:$H$42,3,FALSE))</f>
        <v>15.5</v>
      </c>
      <c r="J86" s="39">
        <f>IF(C86=0,0,VLOOKUP(C86,Paramètres!$C$5:$H$42,4,FALSE))</f>
        <v>24.85</v>
      </c>
      <c r="K86" s="74">
        <f>IF(C86=0,0,VLOOKUP(C86,Paramètres!$C$5:$H$42,5,FALSE))</f>
        <v>19.5</v>
      </c>
      <c r="L86" s="103">
        <f>F86*K86</f>
        <v>314827.5</v>
      </c>
      <c r="M86" s="4">
        <f>IF(C86=0,0,VLOOKUP(C86,Paramètres!$C$5:$H$42,2,FALSE))</f>
        <v>30</v>
      </c>
      <c r="N86" s="11">
        <f>IF(M86=40,POWER(0.95,E86),IF(M86=35,POWER(0.94,E86),IF(M86=30,POWER(0.93,E86),IF(M86=25,POWER(0.91,E86),IF(M86=20,POWER(0.89,E86),IF(M86=15,POWER(0.87,E86),IF(M86=10,POWER(0.8,E86),0)))))))</f>
        <v>1</v>
      </c>
      <c r="O86" s="88"/>
      <c r="P86" s="5"/>
      <c r="Q86" s="103">
        <f>IF(E86=0,0,L86*N86*O86)</f>
        <v>0</v>
      </c>
      <c r="R86" s="88"/>
      <c r="S86" s="106">
        <f>Q86*R86</f>
        <v>0</v>
      </c>
      <c r="V86" s="192">
        <f>IF(Q86=0,0,L86)</f>
        <v>0</v>
      </c>
      <c r="W86" s="192"/>
      <c r="AC86" s="78" t="s">
        <v>93</v>
      </c>
      <c r="AD86" s="71"/>
      <c r="AE86" s="72"/>
      <c r="AF86" s="87">
        <v>16145</v>
      </c>
      <c r="AG86" s="151"/>
      <c r="AH86" s="24"/>
      <c r="AI86" s="39">
        <f>IF(AC86=0,0,VLOOKUP(AC86,Paramètres!$C$5:$H$42,3,FALSE))</f>
        <v>15.5</v>
      </c>
      <c r="AJ86" s="39">
        <f>IF(AC86=0,0,VLOOKUP(AC86,Paramètres!$C$5:$H$42,4,FALSE))</f>
        <v>24.85</v>
      </c>
      <c r="AK86" s="74">
        <f>IF(AC86=0,0,VLOOKUP(AC86,Paramètres!$C$5:$H$42,5,FALSE))</f>
        <v>19.5</v>
      </c>
      <c r="AL86" s="103">
        <f>AF86*AK86</f>
        <v>314827.5</v>
      </c>
      <c r="AM86" s="4">
        <f>IF(AC86=0,0,VLOOKUP(AC86,Paramètres!$C$5:$H$42,2,FALSE))</f>
        <v>30</v>
      </c>
      <c r="AN86" s="11">
        <f>IF(AM86=40,POWER(0.95,AE86),IF(AM86=35,POWER(0.94,AE86),IF(AM86=30,POWER(0.93,AE86),IF(AM86=25,POWER(0.91,AE86),IF(AM86=20,POWER(0.89,AE86),IF(AM86=15,POWER(0.87,AE86),IF(AM86=10,POWER(0.8,AE86),0)))))))</f>
        <v>1</v>
      </c>
      <c r="AO86" s="88"/>
      <c r="AP86" s="5"/>
      <c r="AQ86" s="103">
        <f>IF(AE86=0,0,AL86*AN86*AO86)</f>
        <v>0</v>
      </c>
      <c r="AR86" s="88"/>
      <c r="AS86" s="106">
        <f>AQ86*AR86</f>
        <v>0</v>
      </c>
    </row>
    <row r="87" spans="1:45" ht="12.75" customHeight="1" thickBot="1">
      <c r="A87" t="s">
        <v>96</v>
      </c>
      <c r="C87" s="71"/>
      <c r="D87" s="71"/>
      <c r="E87" s="72"/>
      <c r="F87" s="72"/>
      <c r="G87" s="151"/>
      <c r="H87" s="65"/>
      <c r="I87" s="66">
        <f>IF(C87=0,0,VLOOKUP(C87,Paramètres!$C$5:$H$42,3,FALSE))</f>
        <v>0</v>
      </c>
      <c r="J87" s="66">
        <f>IF(C87=0,0,VLOOKUP(C87,Paramètres!$C$5:$H$42,4,FALSE))</f>
        <v>0</v>
      </c>
      <c r="K87" s="74">
        <f>IF(C87=0,0,VLOOKUP(C87,Paramètres!$C$5:$H$42,5,FALSE))</f>
        <v>0</v>
      </c>
      <c r="L87" s="103">
        <f>F87*K87</f>
        <v>0</v>
      </c>
      <c r="M87" s="68">
        <f>IF(C87=0,0,VLOOKUP(C87,Paramètres!$C$5:$H$42,2,FALSE))</f>
        <v>0</v>
      </c>
      <c r="N87" s="69">
        <f>IF(M87=40,POWER(0.95,E87),IF(M87=35,POWER(0.94,E87),IF(M87=30,POWER(0.93,E87),IF(M87=25,POWER(0.91,E87),IF(M87=20,POWER(0.89,E87),IF(M87=15,POWER(0.87,E87),IF(M87=10,POWER(0.8,E87),0)))))))</f>
        <v>0</v>
      </c>
      <c r="O87" s="88"/>
      <c r="P87" s="67"/>
      <c r="Q87" s="103">
        <f>IF(E87=0,0,L87*N87*O87)</f>
        <v>0</v>
      </c>
      <c r="R87" s="88"/>
      <c r="S87" s="106">
        <f>Q87*R87</f>
        <v>0</v>
      </c>
      <c r="V87" s="192">
        <f>IF(Q87=0,0,L87)</f>
        <v>0</v>
      </c>
      <c r="W87" s="192"/>
      <c r="AC87" s="71"/>
      <c r="AD87" s="71"/>
      <c r="AE87" s="72"/>
      <c r="AF87" s="72"/>
      <c r="AG87" s="151"/>
      <c r="AH87" s="65"/>
      <c r="AI87" s="66">
        <f>IF(AC87=0,0,VLOOKUP(AC87,Paramètres!$C$5:$H$42,3,FALSE))</f>
        <v>0</v>
      </c>
      <c r="AJ87" s="66">
        <f>IF(AC87=0,0,VLOOKUP(AC87,Paramètres!$C$5:$H$42,4,FALSE))</f>
        <v>0</v>
      </c>
      <c r="AK87" s="74">
        <f>IF(AC87=0,0,VLOOKUP(AC87,Paramètres!$C$5:$H$42,5,FALSE))</f>
        <v>0</v>
      </c>
      <c r="AL87" s="103">
        <f>AF87*AK87</f>
        <v>0</v>
      </c>
      <c r="AM87" s="68">
        <f>IF(AC87=0,0,VLOOKUP(AC87,Paramètres!$C$5:$H$42,2,FALSE))</f>
        <v>0</v>
      </c>
      <c r="AN87" s="69">
        <f>IF(AM87=40,POWER(0.95,AE87),IF(AM87=35,POWER(0.94,AE87),IF(AM87=30,POWER(0.93,AE87),IF(AM87=25,POWER(0.91,AE87),IF(AM87=20,POWER(0.89,AE87),IF(AM87=15,POWER(0.87,AE87),IF(AM87=10,POWER(0.8,AE87),0)))))))</f>
        <v>0</v>
      </c>
      <c r="AO87" s="88"/>
      <c r="AP87" s="67"/>
      <c r="AQ87" s="103">
        <f>IF(AE87=0,0,AL87*AN87*AO87)</f>
        <v>0</v>
      </c>
      <c r="AR87" s="88"/>
      <c r="AS87" s="106">
        <f>AQ87*AR87</f>
        <v>0</v>
      </c>
    </row>
    <row r="88" spans="1:45" ht="20.25" customHeight="1" thickBot="1" thickTop="1">
      <c r="A88" t="s">
        <v>96</v>
      </c>
      <c r="C88" s="124" t="s">
        <v>9</v>
      </c>
      <c r="D88" s="181"/>
      <c r="E88" s="182"/>
      <c r="F88" s="182"/>
      <c r="G88" s="183"/>
      <c r="H88" s="184"/>
      <c r="I88" s="185"/>
      <c r="J88" s="185"/>
      <c r="K88" s="186"/>
      <c r="L88" s="116">
        <f>V88</f>
        <v>0</v>
      </c>
      <c r="M88" s="187"/>
      <c r="N88" s="188"/>
      <c r="O88" s="189"/>
      <c r="P88" s="175"/>
      <c r="Q88" s="116">
        <f>SUM(Q84:Q87)</f>
        <v>0</v>
      </c>
      <c r="R88" s="129"/>
      <c r="S88" s="107">
        <f>SUM(S84:S87)</f>
        <v>0</v>
      </c>
      <c r="V88" s="192">
        <f>SUM(V84:V87)</f>
        <v>0</v>
      </c>
      <c r="W88" s="192"/>
      <c r="AC88" s="124" t="s">
        <v>9</v>
      </c>
      <c r="AD88" s="181"/>
      <c r="AE88" s="182"/>
      <c r="AF88" s="182"/>
      <c r="AG88" s="183"/>
      <c r="AH88" s="184"/>
      <c r="AI88" s="185"/>
      <c r="AJ88" s="185"/>
      <c r="AK88" s="186"/>
      <c r="AL88" s="116">
        <f>$V$88</f>
        <v>0</v>
      </c>
      <c r="AM88" s="187"/>
      <c r="AN88" s="188"/>
      <c r="AO88" s="189"/>
      <c r="AP88" s="175"/>
      <c r="AQ88" s="116">
        <f>SUM(AQ84:AQ87)</f>
        <v>0</v>
      </c>
      <c r="AR88" s="129"/>
      <c r="AS88" s="107">
        <f>SUM(AS84:AS87)</f>
        <v>0</v>
      </c>
    </row>
    <row r="89" spans="1:23" ht="18.75" thickTop="1">
      <c r="A89" s="37" t="s">
        <v>70</v>
      </c>
      <c r="B89" s="37"/>
      <c r="C89" s="162" t="s">
        <v>11</v>
      </c>
      <c r="D89" s="163"/>
      <c r="E89" s="40"/>
      <c r="F89" s="40"/>
      <c r="G89" s="40"/>
      <c r="H89" s="164"/>
      <c r="I89" s="164"/>
      <c r="J89" s="164"/>
      <c r="K89" s="40"/>
      <c r="L89" s="40"/>
      <c r="M89" s="34"/>
      <c r="N89" s="40"/>
      <c r="O89" s="40"/>
      <c r="P89" s="40"/>
      <c r="Q89" s="40"/>
      <c r="R89" s="40"/>
      <c r="S89" s="165"/>
      <c r="V89" s="192"/>
      <c r="W89" s="192"/>
    </row>
    <row r="90" spans="1:19" ht="30">
      <c r="A90" s="37" t="s">
        <v>70</v>
      </c>
      <c r="B90" s="37"/>
      <c r="C90" s="166"/>
      <c r="D90" s="167"/>
      <c r="E90" s="7"/>
      <c r="F90" s="7"/>
      <c r="G90" s="7"/>
      <c r="H90" s="25"/>
      <c r="I90" s="25"/>
      <c r="J90" s="25"/>
      <c r="K90" s="7"/>
      <c r="L90" s="8" t="s">
        <v>132</v>
      </c>
      <c r="M90" s="8"/>
      <c r="N90" s="8"/>
      <c r="O90" s="8"/>
      <c r="P90" s="8" t="s">
        <v>4</v>
      </c>
      <c r="Q90" s="8" t="s">
        <v>8</v>
      </c>
      <c r="R90" s="8"/>
      <c r="S90" s="9" t="s">
        <v>5</v>
      </c>
    </row>
    <row r="91" spans="1:19" ht="20.25" customHeight="1" thickBot="1">
      <c r="A91" s="37" t="s">
        <v>70</v>
      </c>
      <c r="B91" s="37"/>
      <c r="C91" s="168" t="s">
        <v>12</v>
      </c>
      <c r="D91" s="169"/>
      <c r="E91" s="170"/>
      <c r="F91" s="170"/>
      <c r="G91" s="170"/>
      <c r="H91" s="171"/>
      <c r="I91" s="171"/>
      <c r="J91" s="171"/>
      <c r="K91" s="170"/>
      <c r="L91" s="172">
        <f>SUM(V88,V81,V74,V67,V54,V46,V35)</f>
        <v>0</v>
      </c>
      <c r="M91" s="170"/>
      <c r="N91" s="170"/>
      <c r="O91" s="170"/>
      <c r="P91" s="170"/>
      <c r="Q91" s="172">
        <f>Q81+Q74+Q67+Q54+Q46+Q88+Q35</f>
        <v>0</v>
      </c>
      <c r="R91" s="170"/>
      <c r="S91" s="173">
        <f>S81+S74+S67+S54+S46+S88+S35</f>
        <v>0</v>
      </c>
    </row>
    <row r="92" ht="13.5" thickTop="1">
      <c r="C92" t="s">
        <v>113</v>
      </c>
    </row>
    <row r="93" spans="3:10" ht="12.75">
      <c r="C93" t="s">
        <v>87</v>
      </c>
      <c r="D93" s="52" t="s">
        <v>109</v>
      </c>
      <c r="E93" s="202"/>
      <c r="F93" s="202"/>
      <c r="G93" s="202"/>
      <c r="H93" s="60"/>
      <c r="I93" s="60"/>
      <c r="J93" s="26"/>
    </row>
    <row r="94" spans="3:15" ht="12.75" customHeight="1">
      <c r="C94" s="190"/>
      <c r="D94" s="201" t="s">
        <v>155</v>
      </c>
      <c r="E94" s="205"/>
      <c r="F94" s="204"/>
      <c r="G94" s="204"/>
      <c r="H94" s="63"/>
      <c r="I94" s="63"/>
      <c r="J94" s="63"/>
      <c r="K94" s="63"/>
      <c r="O94" t="s">
        <v>87</v>
      </c>
    </row>
    <row r="95" spans="3:11" ht="15.75" customHeight="1">
      <c r="C95" s="190"/>
      <c r="D95" s="190"/>
      <c r="E95" s="190"/>
      <c r="F95" s="190"/>
      <c r="G95" s="190"/>
      <c r="H95" s="63"/>
      <c r="I95" s="63"/>
      <c r="J95" s="63"/>
      <c r="K95" s="63"/>
    </row>
    <row r="96" spans="3:10" ht="15.75">
      <c r="C96" s="48"/>
      <c r="D96" s="48"/>
      <c r="H96" s="26"/>
      <c r="I96" s="26"/>
      <c r="J96" s="26"/>
    </row>
    <row r="97" spans="8:10" ht="12.75">
      <c r="H97" s="26"/>
      <c r="I97" s="26"/>
      <c r="J97" s="26"/>
    </row>
    <row r="98" spans="8:10" ht="12.75">
      <c r="H98" s="26"/>
      <c r="I98" s="26"/>
      <c r="J98" s="26"/>
    </row>
    <row r="99" spans="8:10" ht="12.75">
      <c r="H99" s="26"/>
      <c r="I99" s="26"/>
      <c r="J99" s="26"/>
    </row>
    <row r="100" spans="8:17" ht="12.75">
      <c r="H100" s="26"/>
      <c r="I100" s="26"/>
      <c r="J100" s="26"/>
      <c r="Q100" s="61"/>
    </row>
    <row r="101" spans="8:10" ht="12.75">
      <c r="H101" s="26"/>
      <c r="I101" s="26"/>
      <c r="J101" s="26"/>
    </row>
    <row r="102" spans="8:10" ht="12.75">
      <c r="H102" s="26"/>
      <c r="I102" s="26"/>
      <c r="J102" s="26"/>
    </row>
    <row r="103" spans="8:10" ht="12.75">
      <c r="H103" s="26"/>
      <c r="I103" s="26"/>
      <c r="J103" s="26"/>
    </row>
    <row r="104" spans="8:10" ht="12.75">
      <c r="H104" s="26"/>
      <c r="I104" s="26"/>
      <c r="J104" s="26"/>
    </row>
    <row r="105" spans="8:10" ht="12.75">
      <c r="H105" s="26"/>
      <c r="I105" s="26"/>
      <c r="J105" s="26"/>
    </row>
    <row r="106" spans="8:10" ht="12.75">
      <c r="H106" s="26"/>
      <c r="I106" s="26"/>
      <c r="J106" s="26"/>
    </row>
    <row r="107" spans="8:10" ht="12.75">
      <c r="H107" s="26"/>
      <c r="I107" s="26"/>
      <c r="J107" s="26"/>
    </row>
    <row r="108" spans="8:10" ht="12.75">
      <c r="H108" s="26"/>
      <c r="I108" s="26"/>
      <c r="J108" s="26"/>
    </row>
    <row r="109" spans="8:10" ht="12.75">
      <c r="H109" s="26"/>
      <c r="I109" s="26"/>
      <c r="J109" s="26"/>
    </row>
    <row r="110" spans="8:10" ht="12.75">
      <c r="H110" s="26"/>
      <c r="I110" s="26"/>
      <c r="J110" s="26"/>
    </row>
  </sheetData>
  <sheetProtection insertRows="0" deleteRows="0"/>
  <protectedRanges>
    <protectedRange sqref="C1:N14" name="Plage8"/>
    <protectedRange sqref="K23:K24" name="Plage3"/>
    <protectedRange sqref="O23:O24" name="Plage4"/>
    <protectedRange sqref="O23:O24" name="Plage5"/>
    <protectedRange sqref="M24" name="Plage7"/>
    <protectedRange sqref="AF38:AG68 AF25:AG36 AC35:AC37 AC46:AC48 F38:G68 F25:G36 C35:C37 C46:C48 AF70:AG88 AC52:AC87 AD25:AE88 F70:G88 C52:C87 D25:E88" name="Plage1_8"/>
    <protectedRange sqref="AH53 H53" name="Plage2_1"/>
    <protectedRange sqref="AK25:AK88 K25:K88" name="Plage3_1"/>
    <protectedRange sqref="AO49:AO56 AO58:AO68 AO70:AO75 AO25:AO36 AO84:AO88 AO38:AO47 O49:O56 O58:O68 O70:O75 O25:O36 O84:O88 O38:O47 O77:O82 AO77:AO82" name="Plage4_1"/>
    <protectedRange sqref="AO49:AO56 AO58:AO68 AO70:AO75 AO25:AO36 AO84:AO88 AO38:AO47 O49:O56 O58:O68 O70:O75 O25:O36 O84:O88 O38:O47 O77:O82 AO77:AO82" name="Plage5_1"/>
    <protectedRange sqref="AM25:AM88 M25:M88" name="Plage7_1"/>
    <protectedRange sqref="AC25:AC34 C25:C34" name="Plage1_1_1"/>
    <protectedRange sqref="AC38:AC45 C38:C45" name="Plage1_2_1"/>
    <protectedRange sqref="AC49:AC51 C49:C51" name="Plage1_3_1"/>
    <protectedRange sqref="AO37 O37" name="Plage4_2"/>
    <protectedRange sqref="AO37 O37" name="Plage5_2"/>
    <protectedRange sqref="AO48 O48" name="Plage4_3"/>
    <protectedRange sqref="AO48 O48" name="Plage5_3"/>
    <protectedRange sqref="AO57 O57" name="Plage4_4"/>
    <protectedRange sqref="AO57 O57" name="Plage5_4"/>
    <protectedRange sqref="AO69 O69" name="Plage4_5"/>
    <protectedRange sqref="AO69 O69" name="Plage5_5"/>
    <protectedRange sqref="AO76 O76" name="Plage4_6"/>
    <protectedRange sqref="AO76 O76" name="Plage5_6"/>
    <protectedRange sqref="AO83 O83" name="Plage4_7"/>
    <protectedRange sqref="AO83 O83" name="Plage5_7"/>
    <protectedRange sqref="C89:G90" name="Plage1_1"/>
    <protectedRange sqref="K89:K90" name="Plage3_2"/>
    <protectedRange sqref="O89:O90" name="Plage4_8"/>
    <protectedRange sqref="O89:O90" name="Plage5_8"/>
    <protectedRange sqref="Q89:S90" name="Plage6_1"/>
    <protectedRange sqref="C91:G91" name="Plage1_2"/>
    <protectedRange sqref="K91" name="Plage3_3"/>
    <protectedRange sqref="O91" name="Plage4_9"/>
    <protectedRange sqref="O91" name="Plage5_9"/>
    <protectedRange sqref="Q91:S91" name="Plage6_2"/>
    <protectedRange sqref="C88 AC88" name="Plage1"/>
  </protectedRanges>
  <mergeCells count="31">
    <mergeCell ref="F56:G56"/>
    <mergeCell ref="I68:J69"/>
    <mergeCell ref="C1:D1"/>
    <mergeCell ref="I23:J24"/>
    <mergeCell ref="I36:J37"/>
    <mergeCell ref="C55:G55"/>
    <mergeCell ref="S23:S24"/>
    <mergeCell ref="S36:S37"/>
    <mergeCell ref="S47:S48"/>
    <mergeCell ref="AI36:AJ37"/>
    <mergeCell ref="AI47:AJ48"/>
    <mergeCell ref="AC55:AG55"/>
    <mergeCell ref="AI68:AJ69"/>
    <mergeCell ref="AI75:AJ76"/>
    <mergeCell ref="AI82:AJ83"/>
    <mergeCell ref="I47:J48"/>
    <mergeCell ref="I75:J76"/>
    <mergeCell ref="I82:J83"/>
    <mergeCell ref="S55:S57"/>
    <mergeCell ref="S75:S76"/>
    <mergeCell ref="S82:S83"/>
    <mergeCell ref="S68:S69"/>
    <mergeCell ref="I56:J57"/>
    <mergeCell ref="AS75:AS76"/>
    <mergeCell ref="AS82:AS83"/>
    <mergeCell ref="AS36:AS37"/>
    <mergeCell ref="AS47:AS48"/>
    <mergeCell ref="AS55:AS57"/>
    <mergeCell ref="AS68:AS69"/>
    <mergeCell ref="AF56:AG56"/>
    <mergeCell ref="AI56:AJ57"/>
  </mergeCells>
  <dataValidations count="12">
    <dataValidation type="list" allowBlank="1" showInputMessage="1" showErrorMessage="1" sqref="AC84:AC87 C84:C87">
      <formula1>autre</formula1>
    </dataValidation>
    <dataValidation errorStyle="warning" type="whole" allowBlank="1" showInputMessage="1" showErrorMessage="1" error="L'âge effectif ne doit pas dépasser la vie économique du bâtiment." sqref="AE84:AE87 E84:E87 AE38:AE45 E38:E45">
      <formula1>0</formula1>
      <formula2>40</formula2>
    </dataValidation>
    <dataValidation type="list" allowBlank="1" showInputMessage="1" showErrorMessage="1" sqref="AC53 AC49:AC51 C53 C49:C51">
      <formula1>Fumier</formula1>
    </dataValidation>
    <dataValidation type="list" allowBlank="1" showInputMessage="1" showErrorMessage="1" sqref="AC58:AC63 AC65:AC66 C58:C63 C65:C66">
      <formula1>silos</formula1>
    </dataValidation>
    <dataValidation type="list" allowBlank="1" showInputMessage="1" showErrorMessage="1" sqref="AC70:AC73 C70:C73">
      <formula1>poule</formula1>
    </dataValidation>
    <dataValidation type="list" allowBlank="1" showInputMessage="1" showErrorMessage="1" sqref="C77:C80 AC77:AC80">
      <formula1>porc</formula1>
    </dataValidation>
    <dataValidation type="list" allowBlank="1" showInputMessage="1" showErrorMessage="1" sqref="AC25:AC34 C25:C34">
      <formula1>Bovins</formula1>
    </dataValidation>
    <dataValidation type="list" allowBlank="1" showInputMessage="1" showErrorMessage="1" sqref="AC38:AC45 C38:C45">
      <formula1>Remise</formula1>
    </dataValidation>
    <dataValidation errorStyle="warning" type="whole" allowBlank="1" showInputMessage="1" showErrorMessage="1" error="L'âge effectif ne doit pas dépasser la vie économique du bâtiment." sqref="AE25:AE34 E25:E34">
      <formula1>0</formula1>
      <formula2>35</formula2>
    </dataValidation>
    <dataValidation errorStyle="warning" type="whole" allowBlank="1" showInputMessage="1" showErrorMessage="1" error="L'âge effectif ne doit pas dépasser la vie économique du bâtiment." sqref="AE53 AE70:AE73 AE49:AE51 E53 E70:E73 E49:E51">
      <formula1>0</formula1>
      <formula2>20</formula2>
    </dataValidation>
    <dataValidation errorStyle="warning" type="whole" allowBlank="1" showInputMessage="1" showErrorMessage="1" error="L'âge effectif ne doit pas dépasser la vie économique du bâtiment." sqref="AE58:AE63 AE65:AE66 E58:E63 E65:E66">
      <formula1>0</formula1>
      <formula2>30</formula2>
    </dataValidation>
    <dataValidation errorStyle="warning" type="whole" allowBlank="1" showInputMessage="1" showErrorMessage="1" error="L'âge effectif ne doit pas dépasser la vie économique du bâtiment." sqref="E77:E80 AE77:AE80">
      <formula1>0</formula1>
      <formula2>25</formula2>
    </dataValidation>
  </dataValidations>
  <hyperlinks>
    <hyperlink ref="E24" location="'Guide de l''utilisateur'!A30:C33" display="Âge effectif"/>
    <hyperlink ref="O24" location="'Guide de l''utilisateur'!A45:C62" display="Facteur fonctionnel"/>
    <hyperlink ref="K24" location="'Guide de l''utilisateur'!A34:C39" display="Prix retenu                    $/pi ²"/>
    <hyperlink ref="R24" location="'Guide de l''utilisateur'!A63:C86" display="Contri-  bution"/>
    <hyperlink ref="AE37" location="'Guide de l''utilisateur'!A30:C33" display="Âge effectif"/>
    <hyperlink ref="AE48" location="'Guide de l''utilisateur'!A30:C33" display="Âge effectif"/>
    <hyperlink ref="AE52" location="'Guide de l''utilisateur'!A30:C33" display="Âge effectif"/>
    <hyperlink ref="AE57" location="'Guide de l''utilisateur'!A30:C33" display="Âge effectif"/>
    <hyperlink ref="AE64" location="'Guide de l''utilisateur'!A30:C33" display="Âge effectif"/>
    <hyperlink ref="AE69" location="'Guide de l''utilisateur'!A30:C33" display="Âge effectif"/>
    <hyperlink ref="AE76" location="'Guide de l''utilisateur'!A30:C33" display="Âge effectif"/>
    <hyperlink ref="AE83" location="'Guide de l''utilisateur'!A30:C33" display="Âge effectif"/>
    <hyperlink ref="AK37" location="'Guide de l''utilisateur'!A34:C39" display="Prix retenu                    $/pi ²"/>
    <hyperlink ref="AK48" location="'Guide de l''utilisateur'!A34:C39" display="Prix retenu                    $/pi ²"/>
    <hyperlink ref="AK69" location="'Guide de l''utilisateur'!A34:C39" display="Prix retenu                    $/pi ²"/>
    <hyperlink ref="AK76" location="'Guide de l''utilisateur'!A34:C39" display="Prix retenu                    $/pi ²"/>
    <hyperlink ref="AK83" location="'Guide de l''utilisateur'!A34:C39" display="Prix retenu                    $/pi ²"/>
    <hyperlink ref="AK57" location="'Guide de l''utilisateur'!A34:C39" display="Prix retenu                    $/pi ²"/>
    <hyperlink ref="AO37" location="'Guide de l''utilisateur'!A45:C62" display="Facteur fonctionnel"/>
    <hyperlink ref="AO48" location="'Guide de l''utilisateur'!A45:C62" display="Facteur fonctionnel"/>
    <hyperlink ref="AO57" location="'Guide de l''utilisateur'!A45:C62" display="Facteur fonctionnel"/>
    <hyperlink ref="AO69" location="'Guide de l''utilisateur'!A45:C62" display="Facteur fonctionnel"/>
    <hyperlink ref="AO76" location="'Guide de l''utilisateur'!A45:C62" display="Facteur fonctionnel"/>
    <hyperlink ref="AO83" location="'Guide de l''utilisateur'!A45:C62" display="Facteur fonctionnel"/>
    <hyperlink ref="AR37" location="'Guide de l''utilisateur'!A63:C86" display="Contri-  bution"/>
    <hyperlink ref="AR48" location="'Guide de l''utilisateur'!A63:C86" display="Contri-  bution"/>
    <hyperlink ref="AR57" location="'Guide de l''utilisateur'!A63:C86" display="Contri-  bution"/>
    <hyperlink ref="AR69" location="'Guide de l''utilisateur'!A63:C86" display="Contri-  bution"/>
    <hyperlink ref="AR76" location="'Guide de l''utilisateur'!A63:C86" display="Contri-  bution"/>
    <hyperlink ref="AR83" location="'Guide de l''utilisateur'!A63:C86" display="Contri-  bution"/>
    <hyperlink ref="E37" location="'Guide de l''utilisateur'!A30:C33" display="Âge effectif"/>
    <hyperlink ref="E48" location="'Guide de l''utilisateur'!A30:C33" display="Âge effectif"/>
    <hyperlink ref="E52" location="'Guide de l''utilisateur'!A30:C33" display="Âge effectif"/>
    <hyperlink ref="E57" location="'Guide de l''utilisateur'!A30:C33" display="Âge effectif"/>
    <hyperlink ref="E64" location="'Guide de l''utilisateur'!A30:C33" display="Âge effectif"/>
    <hyperlink ref="E69" location="'Guide de l''utilisateur'!A30:C33" display="Âge effectif"/>
    <hyperlink ref="E76" location="'Guide de l''utilisateur'!A30:C33" display="Âge effectif"/>
    <hyperlink ref="E83" location="'Guide de l''utilisateur'!A30:C33" display="Âge effectif"/>
    <hyperlink ref="K37" location="'Guide de l''utilisateur'!A34:C39" display="Prix retenu                    $/pi ²"/>
    <hyperlink ref="K48" location="'Guide de l''utilisateur'!A34:C39" display="Prix retenu                    $/pi ²"/>
    <hyperlink ref="K69" location="'Guide de l''utilisateur'!A34:C39" display="Prix retenu                    $/pi ²"/>
    <hyperlink ref="K76" location="'Guide de l''utilisateur'!A34:C39" display="Prix retenu                    $/pi ²"/>
    <hyperlink ref="K83" location="'Guide de l''utilisateur'!A34:C39" display="Prix retenu                    $/pi ²"/>
    <hyperlink ref="K57" location="'Guide de l''utilisateur'!A34:C39" display="Prix retenu                    $/pi ²"/>
    <hyperlink ref="O37" location="'Guide de l''utilisateur'!A45:C62" display="Facteur fonctionnel"/>
    <hyperlink ref="O48" location="'Guide de l''utilisateur'!A45:C62" display="Facteur fonctionnel"/>
    <hyperlink ref="O57" location="'Guide de l''utilisateur'!A45:C62" display="Facteur fonctionnel"/>
    <hyperlink ref="O69" location="'Guide de l''utilisateur'!A45:C62" display="Facteur fonctionnel"/>
    <hyperlink ref="O76" location="'Guide de l''utilisateur'!A45:C62" display="Facteur fonctionnel"/>
    <hyperlink ref="O83" location="'Guide de l''utilisateur'!A45:C62" display="Facteur fonctionnel"/>
    <hyperlink ref="R37" location="'Guide de l''utilisateur'!A63:C86" display="Contri-  bution"/>
    <hyperlink ref="R48" location="'Guide de l''utilisateur'!A63:C86" display="Contri-  bution"/>
    <hyperlink ref="R57" location="'Guide de l''utilisateur'!A63:C86" display="Contri-  bution"/>
    <hyperlink ref="R69" location="'Guide de l''utilisateur'!A63:C86" display="Contri-  bution"/>
    <hyperlink ref="R76" location="'Guide de l''utilisateur'!A63:C86" display="Contri-  bution"/>
    <hyperlink ref="R83" location="'Guide de l''utilisateur'!A63:C86" display="Contri-  bution"/>
  </hyperlinks>
  <printOptions/>
  <pageMargins left="0.5905511811023623" right="0.6299212598425197" top="0.4724409448818898" bottom="0.3937007874015748" header="0.5118110236220472" footer="0.4330708661417323"/>
  <pageSetup blackAndWhite="1" fitToHeight="2" horizontalDpi="300" verticalDpi="300" orientation="landscape" scale="70" r:id="rId4"/>
  <rowBreaks count="1" manualBreakCount="1">
    <brk id="54" min="2" max="18" man="1"/>
  </rowBreaks>
  <drawing r:id="rId3"/>
  <legacyDrawing r:id="rId2"/>
</worksheet>
</file>

<file path=xl/worksheets/sheet3.xml><?xml version="1.0" encoding="utf-8"?>
<worksheet xmlns="http://schemas.openxmlformats.org/spreadsheetml/2006/main" xmlns:r="http://schemas.openxmlformats.org/officeDocument/2006/relationships">
  <sheetPr codeName="Feuil1"/>
  <dimension ref="A1:AR112"/>
  <sheetViews>
    <sheetView showGridLines="0" zoomScaleSheetLayoutView="75" zoomScalePageLayoutView="0" workbookViewId="0" topLeftCell="A1">
      <pane xSplit="4" ySplit="22" topLeftCell="E68" activePane="bottomRight" state="frozen"/>
      <selection pane="topLeft" activeCell="B1" sqref="B1"/>
      <selection pane="topRight" activeCell="E1" sqref="E1"/>
      <selection pane="bottomLeft" activeCell="B26" sqref="B26"/>
      <selection pane="bottomRight" activeCell="C77" sqref="C77"/>
    </sheetView>
  </sheetViews>
  <sheetFormatPr defaultColWidth="11.421875" defaultRowHeight="12.75"/>
  <cols>
    <col min="1" max="1" width="3.57421875" style="0" hidden="1" customWidth="1"/>
    <col min="2" max="2" width="0.13671875" style="0" hidden="1" customWidth="1"/>
    <col min="3" max="3" width="31.8515625" style="0" customWidth="1"/>
    <col min="4" max="4" width="31.28125" style="0" customWidth="1"/>
    <col min="5" max="5" width="11.00390625" style="0" customWidth="1"/>
    <col min="6" max="6" width="11.57421875" style="0" customWidth="1"/>
    <col min="7" max="7" width="12.00390625" style="0" customWidth="1"/>
    <col min="8" max="8" width="11.8515625" style="0" customWidth="1"/>
    <col min="9" max="9" width="6.57421875" style="0" bestFit="1" customWidth="1"/>
    <col min="10" max="10" width="7.57421875" style="0" bestFit="1" customWidth="1"/>
    <col min="11" max="11" width="12.8515625" style="0" customWidth="1"/>
    <col min="12" max="12" width="14.28125" style="0" bestFit="1" customWidth="1"/>
    <col min="13" max="13" width="14.140625" style="0" customWidth="1"/>
    <col min="14" max="14" width="14.28125" style="0" customWidth="1"/>
    <col min="15" max="15" width="13.00390625" style="0" customWidth="1"/>
    <col min="16" max="16" width="12.57421875" style="0" hidden="1" customWidth="1"/>
    <col min="17" max="17" width="15.57421875" style="0" customWidth="1"/>
    <col min="18" max="18" width="13.7109375" style="0" bestFit="1" customWidth="1"/>
    <col min="19" max="19" width="14.28125" style="0" customWidth="1"/>
    <col min="20" max="20" width="3.421875" style="0" customWidth="1"/>
    <col min="28" max="28" width="10.421875" style="0" customWidth="1"/>
    <col min="29" max="44" width="11.421875" style="0" hidden="1" customWidth="1"/>
  </cols>
  <sheetData>
    <row r="1" spans="3:4" ht="20.25">
      <c r="C1" s="239" t="s">
        <v>21</v>
      </c>
      <c r="D1" s="240"/>
    </row>
    <row r="2" spans="3:4" ht="10.5" customHeight="1">
      <c r="C2" s="1"/>
      <c r="D2" s="1"/>
    </row>
    <row r="3" spans="3:10" ht="18">
      <c r="C3" s="33" t="s">
        <v>7</v>
      </c>
      <c r="D3" s="76"/>
      <c r="E3" s="77"/>
      <c r="F3" s="32"/>
      <c r="G3" s="32"/>
      <c r="H3" s="31"/>
      <c r="I3" s="35"/>
      <c r="J3" s="35"/>
    </row>
    <row r="4" spans="3:5" ht="18.75" customHeight="1">
      <c r="C4" s="3"/>
      <c r="D4" s="3"/>
      <c r="E4" s="1"/>
    </row>
    <row r="15" ht="12.75" hidden="1"/>
    <row r="16" ht="12.75" hidden="1"/>
    <row r="17" ht="12.75" hidden="1"/>
    <row r="18" ht="12.75" hidden="1"/>
    <row r="19" ht="12.75" hidden="1"/>
    <row r="20" ht="12.75" hidden="1"/>
    <row r="21" spans="4:10" ht="12.75" hidden="1">
      <c r="D21" s="13"/>
      <c r="E21" s="13"/>
      <c r="F21" s="13"/>
      <c r="G21" s="13"/>
      <c r="H21" s="13"/>
      <c r="I21" s="35"/>
      <c r="J21" s="35"/>
    </row>
    <row r="22" s="57" customFormat="1" ht="13.5" thickBot="1"/>
    <row r="23" spans="1:19" ht="19.5" customHeight="1">
      <c r="A23" t="s">
        <v>108</v>
      </c>
      <c r="C23" s="89" t="s">
        <v>45</v>
      </c>
      <c r="D23" s="90"/>
      <c r="E23" s="91"/>
      <c r="F23" s="92"/>
      <c r="G23" s="92"/>
      <c r="H23" s="93"/>
      <c r="I23" s="231" t="s">
        <v>110</v>
      </c>
      <c r="J23" s="231"/>
      <c r="K23" s="90"/>
      <c r="L23" s="90"/>
      <c r="M23" s="94"/>
      <c r="N23" s="90"/>
      <c r="O23" s="90"/>
      <c r="P23" s="90"/>
      <c r="Q23" s="90"/>
      <c r="R23" s="90"/>
      <c r="S23" s="95"/>
    </row>
    <row r="24" spans="1:19" s="2" customFormat="1" ht="29.25" customHeight="1">
      <c r="A24" s="2" t="s">
        <v>108</v>
      </c>
      <c r="C24" s="96"/>
      <c r="D24" s="97" t="s">
        <v>23</v>
      </c>
      <c r="E24" s="98" t="s">
        <v>18</v>
      </c>
      <c r="F24" s="84" t="s">
        <v>123</v>
      </c>
      <c r="G24" s="84" t="s">
        <v>124</v>
      </c>
      <c r="H24" s="84" t="s">
        <v>44</v>
      </c>
      <c r="I24" s="232"/>
      <c r="J24" s="232"/>
      <c r="K24" s="98" t="s">
        <v>88</v>
      </c>
      <c r="L24" s="84" t="s">
        <v>0</v>
      </c>
      <c r="M24" s="84" t="s">
        <v>19</v>
      </c>
      <c r="N24" s="84" t="s">
        <v>6</v>
      </c>
      <c r="O24" s="99" t="s">
        <v>10</v>
      </c>
      <c r="P24" s="84" t="s">
        <v>4</v>
      </c>
      <c r="Q24" s="84" t="s">
        <v>8</v>
      </c>
      <c r="R24" s="98" t="s">
        <v>1</v>
      </c>
      <c r="S24" s="100" t="s">
        <v>5</v>
      </c>
    </row>
    <row r="25" spans="1:44" s="2" customFormat="1" ht="12.75" customHeight="1">
      <c r="A25" s="2" t="s">
        <v>108</v>
      </c>
      <c r="C25" s="70" t="s">
        <v>2</v>
      </c>
      <c r="D25" s="71"/>
      <c r="E25" s="72"/>
      <c r="F25" s="72">
        <v>40</v>
      </c>
      <c r="G25" s="72">
        <v>138</v>
      </c>
      <c r="H25" s="101">
        <f aca="true" t="shared" si="0" ref="H25:H34">F25*G25</f>
        <v>5520</v>
      </c>
      <c r="I25" s="102">
        <f>IF(C25=0,0,VLOOKUP(C25,Paramètres!$C$5:$H$42,3,FALSE))</f>
        <v>32.230000000000004</v>
      </c>
      <c r="J25" s="102">
        <f>IF(C25=0,0,VLOOKUP(C25,Paramètres!$C$5:$H$42,4,FALSE))</f>
        <v>40.29</v>
      </c>
      <c r="K25" s="73">
        <v>30</v>
      </c>
      <c r="L25" s="103">
        <f aca="true" t="shared" si="1" ref="L25:L30">H25*K25</f>
        <v>165600</v>
      </c>
      <c r="M25" s="104">
        <f>IF(C25=0,0,VLOOKUP(C25,Paramètres!$C$5:$H$42,2,FALSE))</f>
        <v>35</v>
      </c>
      <c r="N25" s="105">
        <f aca="true" t="shared" si="2" ref="N25:N34">IF(M25=40,POWER(0.95,E25),IF(M25=35,POWER(0.94,E25),IF(M25=30,POWER(0.93,E25),IF(M25=25,POWER(0.91,E25),IF(M25=20,POWER(0.89,E25),IF(M25=15,POWER(0.87,E25),IF(M25=10,POWER(0.8,E25),0)))))))</f>
        <v>1</v>
      </c>
      <c r="O25" s="88"/>
      <c r="P25" s="5">
        <f>L25*N25*O25</f>
        <v>0</v>
      </c>
      <c r="Q25" s="103">
        <f>IF(E25=0,0,L25*N25*O25)</f>
        <v>0</v>
      </c>
      <c r="R25" s="88"/>
      <c r="S25" s="106">
        <f aca="true" t="shared" si="3" ref="S25:S30">Q25*R25</f>
        <v>0</v>
      </c>
      <c r="V25" s="192">
        <f aca="true" t="shared" si="4" ref="V25:V34">IF(Q25=0,0,L25)</f>
        <v>0</v>
      </c>
      <c r="AC25" s="70" t="s">
        <v>2</v>
      </c>
      <c r="AD25" s="71"/>
      <c r="AE25" s="72"/>
      <c r="AF25" s="72">
        <v>40</v>
      </c>
      <c r="AG25" s="72">
        <v>138</v>
      </c>
      <c r="AH25" s="101">
        <f aca="true" t="shared" si="5" ref="AH25:AH34">AF25*AG25</f>
        <v>5520</v>
      </c>
      <c r="AI25" s="102">
        <f>IF(AC25=0,0,VLOOKUP(AC25,Paramètres!$C$5:$H$42,3,FALSE))</f>
        <v>32.230000000000004</v>
      </c>
      <c r="AJ25" s="102">
        <f>IF(AC25=0,0,VLOOKUP(AC25,Paramètres!$C$5:$H$42,4,FALSE))</f>
        <v>40.29</v>
      </c>
      <c r="AK25" s="73">
        <v>30</v>
      </c>
      <c r="AL25" s="103">
        <f aca="true" t="shared" si="6" ref="AL25:AL30">AH25*AK25</f>
        <v>165600</v>
      </c>
      <c r="AM25" s="104">
        <f>IF(AC25=0,0,VLOOKUP(AC25,Paramètres!$C$5:$H$42,2,FALSE))</f>
        <v>35</v>
      </c>
      <c r="AN25" s="105">
        <f aca="true" t="shared" si="7" ref="AN25:AN34">IF(AM25=40,POWER(0.95,AE25),IF(AM25=35,POWER(0.94,AE25),IF(AM25=30,POWER(0.93,AE25),IF(AM25=25,POWER(0.91,AE25),IF(AM25=20,POWER(0.89,AE25),IF(AM25=15,POWER(0.87,AE25),IF(AM25=10,POWER(0.8,AE25),0)))))))</f>
        <v>1</v>
      </c>
      <c r="AO25" s="88"/>
      <c r="AP25" s="5">
        <f>AL25*AN25*AO25</f>
        <v>0</v>
      </c>
      <c r="AQ25" s="103">
        <f>IF(AE25=0,0,AL25*AN25*AO25)</f>
        <v>0</v>
      </c>
      <c r="AR25" s="88"/>
    </row>
    <row r="26" spans="1:44" s="2" customFormat="1" ht="12.75" customHeight="1">
      <c r="A26" s="2" t="s">
        <v>108</v>
      </c>
      <c r="C26" s="70" t="s">
        <v>35</v>
      </c>
      <c r="D26" s="71"/>
      <c r="E26" s="72"/>
      <c r="F26" s="72">
        <v>40</v>
      </c>
      <c r="G26" s="72">
        <v>138</v>
      </c>
      <c r="H26" s="101">
        <f t="shared" si="0"/>
        <v>5520</v>
      </c>
      <c r="I26" s="102">
        <f>IF(C26=0,0,VLOOKUP(C26,Paramètres!$C$5:$H$42,3,FALSE))</f>
        <v>26.98</v>
      </c>
      <c r="J26" s="102">
        <f>IF(C26=0,0,VLOOKUP(C26,Paramètres!$C$5:$H$42,4,FALSE))</f>
        <v>33.18</v>
      </c>
      <c r="K26" s="73">
        <f>IF(C26=0,0,VLOOKUP(C26,Paramètres!$C$5:$H$42,5,FALSE))</f>
        <v>28.35</v>
      </c>
      <c r="L26" s="103">
        <f t="shared" si="1"/>
        <v>156492</v>
      </c>
      <c r="M26" s="104">
        <f>IF(C26=0,0,VLOOKUP(C26,Paramètres!$C$5:$H$42,2,FALSE))</f>
        <v>35</v>
      </c>
      <c r="N26" s="105">
        <f t="shared" si="2"/>
        <v>1</v>
      </c>
      <c r="O26" s="88"/>
      <c r="P26" s="5"/>
      <c r="Q26" s="103">
        <f>IF(E26=0,0,L26*N26*O26)</f>
        <v>0</v>
      </c>
      <c r="R26" s="88"/>
      <c r="S26" s="106">
        <f t="shared" si="3"/>
        <v>0</v>
      </c>
      <c r="V26" s="192">
        <f t="shared" si="4"/>
        <v>0</v>
      </c>
      <c r="AC26" s="70" t="s">
        <v>35</v>
      </c>
      <c r="AD26" s="71"/>
      <c r="AE26" s="72"/>
      <c r="AF26" s="72">
        <v>40</v>
      </c>
      <c r="AG26" s="72">
        <v>138</v>
      </c>
      <c r="AH26" s="101">
        <f t="shared" si="5"/>
        <v>5520</v>
      </c>
      <c r="AI26" s="102">
        <f>IF(AC26=0,0,VLOOKUP(AC26,Paramètres!$C$5:$H$42,3,FALSE))</f>
        <v>26.98</v>
      </c>
      <c r="AJ26" s="102">
        <f>IF(AC26=0,0,VLOOKUP(AC26,Paramètres!$C$5:$H$42,4,FALSE))</f>
        <v>33.18</v>
      </c>
      <c r="AK26" s="73">
        <f>IF(AC26=0,0,VLOOKUP(AC26,Paramètres!$C$5:$H$42,5,FALSE))</f>
        <v>28.35</v>
      </c>
      <c r="AL26" s="103">
        <f t="shared" si="6"/>
        <v>156492</v>
      </c>
      <c r="AM26" s="104">
        <f>IF(AC26=0,0,VLOOKUP(AC26,Paramètres!$C$5:$H$42,2,FALSE))</f>
        <v>35</v>
      </c>
      <c r="AN26" s="105">
        <f t="shared" si="7"/>
        <v>1</v>
      </c>
      <c r="AO26" s="88"/>
      <c r="AP26" s="5"/>
      <c r="AQ26" s="103">
        <f>IF(AE26=0,0,AL26*AN26*AO26)</f>
        <v>0</v>
      </c>
      <c r="AR26" s="88"/>
    </row>
    <row r="27" spans="1:44" s="2" customFormat="1" ht="12.75" customHeight="1">
      <c r="A27" s="2" t="s">
        <v>108</v>
      </c>
      <c r="C27" s="70" t="s">
        <v>34</v>
      </c>
      <c r="D27" s="71"/>
      <c r="E27" s="72"/>
      <c r="F27" s="72">
        <v>44</v>
      </c>
      <c r="G27" s="72">
        <v>138</v>
      </c>
      <c r="H27" s="101">
        <f t="shared" si="0"/>
        <v>6072</v>
      </c>
      <c r="I27" s="102">
        <f>IF(C27=0,0,VLOOKUP(C27,Paramètres!$C$5:$H$42,3,FALSE))</f>
        <v>26.98</v>
      </c>
      <c r="J27" s="102">
        <f>IF(C27=0,0,VLOOKUP(C27,Paramètres!$C$5:$H$42,4,FALSE))</f>
        <v>41.58</v>
      </c>
      <c r="K27" s="73">
        <f>IF(C27=0,0,VLOOKUP(C27,Paramètres!$C$5:$H$42,5,FALSE))</f>
        <v>32.55</v>
      </c>
      <c r="L27" s="103">
        <f t="shared" si="1"/>
        <v>197643.59999999998</v>
      </c>
      <c r="M27" s="104">
        <f>IF(C27=0,0,VLOOKUP(C27,Paramètres!$C$5:$H$42,2,FALSE))</f>
        <v>30</v>
      </c>
      <c r="N27" s="105">
        <f t="shared" si="2"/>
        <v>1</v>
      </c>
      <c r="O27" s="88"/>
      <c r="P27" s="5"/>
      <c r="Q27" s="103">
        <f>IF(E27=0,0,L27*N27*O27)</f>
        <v>0</v>
      </c>
      <c r="R27" s="88"/>
      <c r="S27" s="106">
        <f t="shared" si="3"/>
        <v>0</v>
      </c>
      <c r="V27" s="192">
        <f>IF(Q27=0,0,L27)</f>
        <v>0</v>
      </c>
      <c r="AC27" s="70" t="s">
        <v>34</v>
      </c>
      <c r="AD27" s="71"/>
      <c r="AE27" s="72"/>
      <c r="AF27" s="72">
        <v>44</v>
      </c>
      <c r="AG27" s="72">
        <v>138</v>
      </c>
      <c r="AH27" s="101">
        <f t="shared" si="5"/>
        <v>6072</v>
      </c>
      <c r="AI27" s="102">
        <f>IF(AC27=0,0,VLOOKUP(AC27,Paramètres!$C$5:$H$42,3,FALSE))</f>
        <v>26.98</v>
      </c>
      <c r="AJ27" s="102">
        <f>IF(AC27=0,0,VLOOKUP(AC27,Paramètres!$C$5:$H$42,4,FALSE))</f>
        <v>41.58</v>
      </c>
      <c r="AK27" s="73">
        <f>IF(AC27=0,0,VLOOKUP(AC27,Paramètres!$C$5:$H$42,5,FALSE))</f>
        <v>32.55</v>
      </c>
      <c r="AL27" s="103">
        <f t="shared" si="6"/>
        <v>197643.59999999998</v>
      </c>
      <c r="AM27" s="104">
        <f>IF(AC27=0,0,VLOOKUP(AC27,Paramètres!$C$5:$H$42,2,FALSE))</f>
        <v>30</v>
      </c>
      <c r="AN27" s="105">
        <f t="shared" si="7"/>
        <v>1</v>
      </c>
      <c r="AO27" s="88"/>
      <c r="AP27" s="5"/>
      <c r="AQ27" s="103">
        <f aca="true" t="shared" si="8" ref="AQ27:AQ34">IF(AE27=0,0,AL27*AN27*AO27)</f>
        <v>0</v>
      </c>
      <c r="AR27" s="88"/>
    </row>
    <row r="28" spans="1:44" s="2" customFormat="1" ht="12.75" customHeight="1">
      <c r="A28" s="2" t="s">
        <v>108</v>
      </c>
      <c r="C28" s="70" t="s">
        <v>33</v>
      </c>
      <c r="D28" s="71"/>
      <c r="E28" s="72"/>
      <c r="F28" s="72">
        <v>26</v>
      </c>
      <c r="G28" s="72">
        <v>26</v>
      </c>
      <c r="H28" s="101">
        <f t="shared" si="0"/>
        <v>676</v>
      </c>
      <c r="I28" s="102">
        <f>IF(C28=0,0,VLOOKUP(C28,Paramètres!$C$5:$H$42,3,FALSE))</f>
        <v>51.13</v>
      </c>
      <c r="J28" s="102">
        <f>IF(C28=0,0,VLOOKUP(C28,Paramètres!$C$5:$H$42,4,FALSE))</f>
        <v>56.6</v>
      </c>
      <c r="K28" s="73">
        <f>IF(C28=0,0,VLOOKUP(C28,Paramètres!$C$5:$H$42,5,FALSE))</f>
        <v>52.5</v>
      </c>
      <c r="L28" s="103">
        <f t="shared" si="1"/>
        <v>35490</v>
      </c>
      <c r="M28" s="104">
        <f>IF(C28=0,0,VLOOKUP(C28,Paramètres!$C$5:$H$42,2,FALSE))</f>
        <v>30</v>
      </c>
      <c r="N28" s="105">
        <f t="shared" si="2"/>
        <v>1</v>
      </c>
      <c r="O28" s="88"/>
      <c r="P28" s="5"/>
      <c r="Q28" s="103">
        <f aca="true" t="shared" si="9" ref="Q28:Q34">IF(E28=0,0,L28*N28*O28)</f>
        <v>0</v>
      </c>
      <c r="R28" s="88"/>
      <c r="S28" s="106">
        <f t="shared" si="3"/>
        <v>0</v>
      </c>
      <c r="V28" s="192">
        <f t="shared" si="4"/>
        <v>0</v>
      </c>
      <c r="AC28" s="70" t="s">
        <v>33</v>
      </c>
      <c r="AD28" s="71"/>
      <c r="AE28" s="72"/>
      <c r="AF28" s="72">
        <v>26</v>
      </c>
      <c r="AG28" s="72">
        <v>26</v>
      </c>
      <c r="AH28" s="101">
        <f t="shared" si="5"/>
        <v>676</v>
      </c>
      <c r="AI28" s="102">
        <f>IF(AC28=0,0,VLOOKUP(AC28,Paramètres!$C$5:$H$42,3,FALSE))</f>
        <v>51.13</v>
      </c>
      <c r="AJ28" s="102">
        <f>IF(AC28=0,0,VLOOKUP(AC28,Paramètres!$C$5:$H$42,4,FALSE))</f>
        <v>56.6</v>
      </c>
      <c r="AK28" s="73">
        <f>IF(AC28=0,0,VLOOKUP(AC28,Paramètres!$C$5:$H$42,5,FALSE))</f>
        <v>52.5</v>
      </c>
      <c r="AL28" s="103">
        <f t="shared" si="6"/>
        <v>35490</v>
      </c>
      <c r="AM28" s="104">
        <f>IF(AC28=0,0,VLOOKUP(AC28,Paramètres!$C$5:$H$42,2,FALSE))</f>
        <v>30</v>
      </c>
      <c r="AN28" s="105">
        <f t="shared" si="7"/>
        <v>1</v>
      </c>
      <c r="AO28" s="88"/>
      <c r="AP28" s="5"/>
      <c r="AQ28" s="103">
        <f t="shared" si="8"/>
        <v>0</v>
      </c>
      <c r="AR28" s="88"/>
    </row>
    <row r="29" spans="1:44" s="2" customFormat="1" ht="12.75" customHeight="1">
      <c r="A29" s="2" t="s">
        <v>108</v>
      </c>
      <c r="C29" s="70" t="s">
        <v>32</v>
      </c>
      <c r="D29" s="71"/>
      <c r="E29" s="72"/>
      <c r="F29" s="72">
        <v>25</v>
      </c>
      <c r="G29" s="72">
        <v>26</v>
      </c>
      <c r="H29" s="101">
        <f t="shared" si="0"/>
        <v>650</v>
      </c>
      <c r="I29" s="102">
        <f>IF(C29=0,0,VLOOKUP(C29,Paramètres!$C$5:$H$42,3,FALSE))</f>
        <v>45.88</v>
      </c>
      <c r="J29" s="102">
        <f>IF(C29=0,0,VLOOKUP(C29,Paramètres!$C$5:$H$42,4,FALSE))</f>
        <v>48.2</v>
      </c>
      <c r="K29" s="73">
        <f>IF(C29=0,0,VLOOKUP(C29,Paramètres!$C$5:$H$42,5,FALSE))</f>
        <v>47.25</v>
      </c>
      <c r="L29" s="103">
        <f t="shared" si="1"/>
        <v>30712.5</v>
      </c>
      <c r="M29" s="104">
        <f>IF(C29=0,0,VLOOKUP(C29,Paramètres!$C$5:$H$42,2,FALSE))</f>
        <v>30</v>
      </c>
      <c r="N29" s="105">
        <f t="shared" si="2"/>
        <v>1</v>
      </c>
      <c r="O29" s="88"/>
      <c r="P29" s="5"/>
      <c r="Q29" s="103">
        <f t="shared" si="9"/>
        <v>0</v>
      </c>
      <c r="R29" s="88"/>
      <c r="S29" s="106">
        <f t="shared" si="3"/>
        <v>0</v>
      </c>
      <c r="V29" s="192">
        <f t="shared" si="4"/>
        <v>0</v>
      </c>
      <c r="AC29" s="70" t="s">
        <v>32</v>
      </c>
      <c r="AD29" s="71"/>
      <c r="AE29" s="72"/>
      <c r="AF29" s="72">
        <v>25</v>
      </c>
      <c r="AG29" s="72">
        <v>26</v>
      </c>
      <c r="AH29" s="101">
        <f t="shared" si="5"/>
        <v>650</v>
      </c>
      <c r="AI29" s="102">
        <f>IF(AC29=0,0,VLOOKUP(AC29,Paramètres!$C$5:$H$42,3,FALSE))</f>
        <v>45.88</v>
      </c>
      <c r="AJ29" s="102">
        <f>IF(AC29=0,0,VLOOKUP(AC29,Paramètres!$C$5:$H$42,4,FALSE))</f>
        <v>48.2</v>
      </c>
      <c r="AK29" s="73">
        <f>IF(AC29=0,0,VLOOKUP(AC29,Paramètres!$C$5:$H$42,5,FALSE))</f>
        <v>47.25</v>
      </c>
      <c r="AL29" s="103">
        <f t="shared" si="6"/>
        <v>30712.5</v>
      </c>
      <c r="AM29" s="104">
        <f>IF(AC29=0,0,VLOOKUP(AC29,Paramètres!$C$5:$H$42,2,FALSE))</f>
        <v>30</v>
      </c>
      <c r="AN29" s="105">
        <f t="shared" si="7"/>
        <v>1</v>
      </c>
      <c r="AO29" s="88"/>
      <c r="AP29" s="5"/>
      <c r="AQ29" s="103">
        <f t="shared" si="8"/>
        <v>0</v>
      </c>
      <c r="AR29" s="88"/>
    </row>
    <row r="30" spans="1:44" s="2" customFormat="1" ht="12.75" customHeight="1">
      <c r="A30" s="2" t="s">
        <v>108</v>
      </c>
      <c r="C30" s="70"/>
      <c r="D30" s="71"/>
      <c r="E30" s="72"/>
      <c r="F30" s="72"/>
      <c r="G30" s="72"/>
      <c r="H30" s="101">
        <f t="shared" si="0"/>
        <v>0</v>
      </c>
      <c r="I30" s="102">
        <f>IF(C30=0,0,VLOOKUP(C30,Paramètres!$C$5:$H$42,3,FALSE))</f>
        <v>0</v>
      </c>
      <c r="J30" s="102">
        <f>IF(C30=0,0,VLOOKUP(C30,Paramètres!$C$5:$H$42,4,FALSE))</f>
        <v>0</v>
      </c>
      <c r="K30" s="73">
        <f>IF(C30=0,0,VLOOKUP(C30,Paramètres!$C$5:$H$42,5,FALSE))</f>
        <v>0</v>
      </c>
      <c r="L30" s="103">
        <f t="shared" si="1"/>
        <v>0</v>
      </c>
      <c r="M30" s="104">
        <f>IF(C30=0,0,VLOOKUP(C30,Paramètres!$C$5:$H$42,2,FALSE))</f>
        <v>0</v>
      </c>
      <c r="N30" s="105">
        <f t="shared" si="2"/>
        <v>0</v>
      </c>
      <c r="O30" s="88"/>
      <c r="P30" s="5">
        <f>L30*N30*O30</f>
        <v>0</v>
      </c>
      <c r="Q30" s="103">
        <f t="shared" si="9"/>
        <v>0</v>
      </c>
      <c r="R30" s="88"/>
      <c r="S30" s="106">
        <f t="shared" si="3"/>
        <v>0</v>
      </c>
      <c r="V30" s="192">
        <f t="shared" si="4"/>
        <v>0</v>
      </c>
      <c r="AC30" s="70"/>
      <c r="AD30" s="71"/>
      <c r="AE30" s="72"/>
      <c r="AF30" s="72"/>
      <c r="AG30" s="72"/>
      <c r="AH30" s="101">
        <f t="shared" si="5"/>
        <v>0</v>
      </c>
      <c r="AI30" s="102">
        <f>IF(AC30=0,0,VLOOKUP(AC30,Paramètres!$C$5:$H$42,3,FALSE))</f>
        <v>0</v>
      </c>
      <c r="AJ30" s="102">
        <f>IF(AC30=0,0,VLOOKUP(AC30,Paramètres!$C$5:$H$42,4,FALSE))</f>
        <v>0</v>
      </c>
      <c r="AK30" s="73">
        <f>IF(AC30=0,0,VLOOKUP(AC30,Paramètres!$C$5:$H$42,5,FALSE))</f>
        <v>0</v>
      </c>
      <c r="AL30" s="103">
        <f t="shared" si="6"/>
        <v>0</v>
      </c>
      <c r="AM30" s="104">
        <f>IF(AC30=0,0,VLOOKUP(AC30,Paramètres!$C$5:$H$42,2,FALSE))</f>
        <v>0</v>
      </c>
      <c r="AN30" s="105">
        <f t="shared" si="7"/>
        <v>0</v>
      </c>
      <c r="AO30" s="88"/>
      <c r="AP30" s="5">
        <f>AL30*AN30*AO30</f>
        <v>0</v>
      </c>
      <c r="AQ30" s="103">
        <f t="shared" si="8"/>
        <v>0</v>
      </c>
      <c r="AR30" s="88"/>
    </row>
    <row r="31" spans="1:44" s="2" customFormat="1" ht="12.75" customHeight="1">
      <c r="A31" s="2" t="s">
        <v>108</v>
      </c>
      <c r="C31" s="211" t="s">
        <v>158</v>
      </c>
      <c r="D31" s="71"/>
      <c r="E31" s="72"/>
      <c r="F31" s="72">
        <v>42</v>
      </c>
      <c r="G31" s="72">
        <v>108</v>
      </c>
      <c r="H31" s="101">
        <f t="shared" si="0"/>
        <v>4536</v>
      </c>
      <c r="I31" s="102">
        <f>IF(C31=0,0,VLOOKUP(C31,Paramètres!$C$5:$H$42,3,FALSE))</f>
        <v>41.04</v>
      </c>
      <c r="J31" s="102">
        <f>IF(C31=0,0,VLOOKUP(C31,Paramètres!$C$5:$H$42,4,FALSE))</f>
        <v>51.4</v>
      </c>
      <c r="K31" s="73">
        <f>IF(C31=0,0,VLOOKUP(C31,Paramètres!$C$5:$H$42,5,FALSE))</f>
        <v>48</v>
      </c>
      <c r="L31" s="103">
        <f>H31*K31</f>
        <v>217728</v>
      </c>
      <c r="M31" s="104">
        <f>IF(C31=0,0,VLOOKUP(C31,Paramètres!$C$5:$H$42,2,FALSE))</f>
        <v>25</v>
      </c>
      <c r="N31" s="105">
        <f t="shared" si="2"/>
        <v>1</v>
      </c>
      <c r="O31" s="88"/>
      <c r="P31" s="55"/>
      <c r="Q31" s="103">
        <f t="shared" si="9"/>
        <v>0</v>
      </c>
      <c r="R31" s="88"/>
      <c r="S31" s="106">
        <f>Q31*R31</f>
        <v>0</v>
      </c>
      <c r="V31" s="192">
        <f t="shared" si="4"/>
        <v>0</v>
      </c>
      <c r="AC31" s="70" t="s">
        <v>97</v>
      </c>
      <c r="AD31" s="71"/>
      <c r="AE31" s="72"/>
      <c r="AF31" s="72">
        <v>42</v>
      </c>
      <c r="AG31" s="72">
        <v>108</v>
      </c>
      <c r="AH31" s="101">
        <f t="shared" si="5"/>
        <v>4536</v>
      </c>
      <c r="AI31" s="102" t="e">
        <f>IF(AC31=0,0,VLOOKUP(AC31,Paramètres!$C$5:$H$42,3,FALSE))</f>
        <v>#N/A</v>
      </c>
      <c r="AJ31" s="102" t="e">
        <f>IF(AC31=0,0,VLOOKUP(AC31,Paramètres!$C$5:$H$42,4,FALSE))</f>
        <v>#N/A</v>
      </c>
      <c r="AK31" s="73" t="e">
        <f>IF(AC31=0,0,VLOOKUP(AC31,Paramètres!$C$5:$H$42,5,FALSE))</f>
        <v>#N/A</v>
      </c>
      <c r="AL31" s="103" t="e">
        <f>AH31*AK31</f>
        <v>#N/A</v>
      </c>
      <c r="AM31" s="104" t="e">
        <f>IF(AC31=0,0,VLOOKUP(AC31,Paramètres!$C$5:$H$42,2,FALSE))</f>
        <v>#N/A</v>
      </c>
      <c r="AN31" s="105" t="e">
        <f t="shared" si="7"/>
        <v>#N/A</v>
      </c>
      <c r="AO31" s="88"/>
      <c r="AP31" s="55"/>
      <c r="AQ31" s="103">
        <f t="shared" si="8"/>
        <v>0</v>
      </c>
      <c r="AR31" s="88"/>
    </row>
    <row r="32" spans="1:44" s="2" customFormat="1" ht="12.75" customHeight="1">
      <c r="A32" s="2" t="s">
        <v>108</v>
      </c>
      <c r="C32" s="70" t="s">
        <v>36</v>
      </c>
      <c r="D32" s="71"/>
      <c r="E32" s="72"/>
      <c r="F32" s="72"/>
      <c r="G32" s="72"/>
      <c r="H32" s="101">
        <f t="shared" si="0"/>
        <v>0</v>
      </c>
      <c r="I32" s="102">
        <f>IF(C32=0,0,VLOOKUP(C32,Paramètres!$C$5:$H$42,3,FALSE))</f>
        <v>52.3</v>
      </c>
      <c r="J32" s="102">
        <f>IF(C32=0,0,VLOOKUP(C32,Paramètres!$C$5:$H$42,4,FALSE))</f>
        <v>60.4</v>
      </c>
      <c r="K32" s="74">
        <f>IF(C32=0,0,VLOOKUP(C32,Paramètres!$C$5:$H$42,5,FALSE))</f>
        <v>57</v>
      </c>
      <c r="L32" s="103">
        <f>H32*K32</f>
        <v>0</v>
      </c>
      <c r="M32" s="104">
        <f>IF(C32=0,0,VLOOKUP(C32,Paramètres!$C$5:$H$42,2,FALSE))</f>
        <v>25</v>
      </c>
      <c r="N32" s="105">
        <f t="shared" si="2"/>
        <v>1</v>
      </c>
      <c r="O32" s="88"/>
      <c r="P32" s="55"/>
      <c r="Q32" s="103">
        <f t="shared" si="9"/>
        <v>0</v>
      </c>
      <c r="R32" s="88"/>
      <c r="S32" s="106">
        <f>Q32*R32</f>
        <v>0</v>
      </c>
      <c r="V32" s="192">
        <f t="shared" si="4"/>
        <v>0</v>
      </c>
      <c r="AC32" s="70" t="s">
        <v>36</v>
      </c>
      <c r="AD32" s="71"/>
      <c r="AE32" s="72"/>
      <c r="AF32" s="72"/>
      <c r="AG32" s="72"/>
      <c r="AH32" s="101">
        <f t="shared" si="5"/>
        <v>0</v>
      </c>
      <c r="AI32" s="102">
        <f>IF(AC32=0,0,VLOOKUP(AC32,Paramètres!$C$5:$H$42,3,FALSE))</f>
        <v>52.3</v>
      </c>
      <c r="AJ32" s="102">
        <f>IF(AC32=0,0,VLOOKUP(AC32,Paramètres!$C$5:$H$42,4,FALSE))</f>
        <v>60.4</v>
      </c>
      <c r="AK32" s="74">
        <f>IF(AC32=0,0,VLOOKUP(AC32,Paramètres!$C$5:$H$42,5,FALSE))</f>
        <v>57</v>
      </c>
      <c r="AL32" s="103">
        <f>AH32*AK32</f>
        <v>0</v>
      </c>
      <c r="AM32" s="104">
        <f>IF(AC32=0,0,VLOOKUP(AC32,Paramètres!$C$5:$H$42,2,FALSE))</f>
        <v>25</v>
      </c>
      <c r="AN32" s="105">
        <f t="shared" si="7"/>
        <v>1</v>
      </c>
      <c r="AO32" s="88"/>
      <c r="AP32" s="55"/>
      <c r="AQ32" s="103">
        <f t="shared" si="8"/>
        <v>0</v>
      </c>
      <c r="AR32" s="88"/>
    </row>
    <row r="33" spans="1:44" s="2" customFormat="1" ht="12.75" customHeight="1">
      <c r="A33" s="2" t="s">
        <v>108</v>
      </c>
      <c r="C33" s="70" t="s">
        <v>98</v>
      </c>
      <c r="D33" s="71"/>
      <c r="E33" s="72"/>
      <c r="F33" s="72">
        <v>44</v>
      </c>
      <c r="G33" s="72">
        <v>150</v>
      </c>
      <c r="H33" s="101">
        <f t="shared" si="0"/>
        <v>6600</v>
      </c>
      <c r="I33" s="102">
        <f>IF(C33=0,0,VLOOKUP(C33,Paramètres!$C$5:$H$42,3,FALSE))</f>
        <v>32.24</v>
      </c>
      <c r="J33" s="102">
        <f>IF(C33=0,0,VLOOKUP(C33,Paramètres!$C$5:$H$42,4,FALSE))</f>
        <v>40.720000000000006</v>
      </c>
      <c r="K33" s="73">
        <f>IF(C33=0,0,VLOOKUP(C33,Paramètres!$C$5:$H$42,5,FALSE))</f>
        <v>35.36</v>
      </c>
      <c r="L33" s="103">
        <f>H33*K33</f>
        <v>233376</v>
      </c>
      <c r="M33" s="104">
        <f>IF(C33=0,0,VLOOKUP(C33,Paramètres!$C$5:$H$42,2,FALSE))</f>
        <v>25</v>
      </c>
      <c r="N33" s="105">
        <f t="shared" si="2"/>
        <v>1</v>
      </c>
      <c r="O33" s="88"/>
      <c r="P33" s="55"/>
      <c r="Q33" s="103">
        <f t="shared" si="9"/>
        <v>0</v>
      </c>
      <c r="R33" s="88"/>
      <c r="S33" s="106">
        <f>Q33*R33</f>
        <v>0</v>
      </c>
      <c r="V33" s="192">
        <f t="shared" si="4"/>
        <v>0</v>
      </c>
      <c r="AC33" s="70" t="s">
        <v>98</v>
      </c>
      <c r="AD33" s="71"/>
      <c r="AE33" s="72"/>
      <c r="AF33" s="72">
        <v>44</v>
      </c>
      <c r="AG33" s="72">
        <v>150</v>
      </c>
      <c r="AH33" s="101">
        <f t="shared" si="5"/>
        <v>6600</v>
      </c>
      <c r="AI33" s="102">
        <f>IF(AC33=0,0,VLOOKUP(AC33,Paramètres!$C$5:$H$42,3,FALSE))</f>
        <v>32.24</v>
      </c>
      <c r="AJ33" s="102">
        <f>IF(AC33=0,0,VLOOKUP(AC33,Paramètres!$C$5:$H$42,4,FALSE))</f>
        <v>40.720000000000006</v>
      </c>
      <c r="AK33" s="73">
        <f>IF(AC33=0,0,VLOOKUP(AC33,Paramètres!$C$5:$H$42,5,FALSE))</f>
        <v>35.36</v>
      </c>
      <c r="AL33" s="103">
        <f>AH33*AK33</f>
        <v>233376</v>
      </c>
      <c r="AM33" s="104">
        <f>IF(AC33=0,0,VLOOKUP(AC33,Paramètres!$C$5:$H$42,2,FALSE))</f>
        <v>25</v>
      </c>
      <c r="AN33" s="105">
        <f t="shared" si="7"/>
        <v>1</v>
      </c>
      <c r="AO33" s="88"/>
      <c r="AP33" s="55"/>
      <c r="AQ33" s="103">
        <f t="shared" si="8"/>
        <v>0</v>
      </c>
      <c r="AR33" s="88"/>
    </row>
    <row r="34" spans="1:44" s="2" customFormat="1" ht="12.75" customHeight="1">
      <c r="A34" s="2" t="s">
        <v>108</v>
      </c>
      <c r="C34" s="70" t="s">
        <v>99</v>
      </c>
      <c r="D34" s="71"/>
      <c r="E34" s="72"/>
      <c r="F34" s="72">
        <v>44</v>
      </c>
      <c r="G34" s="72">
        <v>150</v>
      </c>
      <c r="H34" s="101">
        <f t="shared" si="0"/>
        <v>6600</v>
      </c>
      <c r="I34" s="102">
        <f>IF(C34=0,0,VLOOKUP(C34,Paramètres!$C$5:$H$42,3,FALSE))</f>
        <v>21.84</v>
      </c>
      <c r="J34" s="102">
        <f>IF(C34=0,0,VLOOKUP(C34,Paramètres!$C$5:$H$42,4,FALSE))</f>
        <v>24.08</v>
      </c>
      <c r="K34" s="73">
        <f>IF(C34=0,0,VLOOKUP(C34,Paramètres!$C$5:$H$42,5,FALSE))</f>
        <v>22.88</v>
      </c>
      <c r="L34" s="103">
        <f>H34*K34</f>
        <v>151008</v>
      </c>
      <c r="M34" s="104">
        <f>IF(C34=0,0,VLOOKUP(C34,Paramètres!$C$5:$H$42,2,FALSE))</f>
        <v>25</v>
      </c>
      <c r="N34" s="105">
        <f t="shared" si="2"/>
        <v>1</v>
      </c>
      <c r="O34" s="88"/>
      <c r="P34" s="55"/>
      <c r="Q34" s="103">
        <f t="shared" si="9"/>
        <v>0</v>
      </c>
      <c r="R34" s="88"/>
      <c r="S34" s="106">
        <f>Q34*R34</f>
        <v>0</v>
      </c>
      <c r="V34" s="192">
        <f t="shared" si="4"/>
        <v>0</v>
      </c>
      <c r="AC34" s="70" t="s">
        <v>99</v>
      </c>
      <c r="AD34" s="71"/>
      <c r="AE34" s="72"/>
      <c r="AF34" s="72">
        <v>44</v>
      </c>
      <c r="AG34" s="72">
        <v>150</v>
      </c>
      <c r="AH34" s="101">
        <f t="shared" si="5"/>
        <v>6600</v>
      </c>
      <c r="AI34" s="102">
        <f>IF(AC34=0,0,VLOOKUP(AC34,Paramètres!$C$5:$H$42,3,FALSE))</f>
        <v>21.84</v>
      </c>
      <c r="AJ34" s="102">
        <f>IF(AC34=0,0,VLOOKUP(AC34,Paramètres!$C$5:$H$42,4,FALSE))</f>
        <v>24.08</v>
      </c>
      <c r="AK34" s="73">
        <f>IF(AC34=0,0,VLOOKUP(AC34,Paramètres!$C$5:$H$42,5,FALSE))</f>
        <v>22.88</v>
      </c>
      <c r="AL34" s="103">
        <f>AH34*AK34</f>
        <v>151008</v>
      </c>
      <c r="AM34" s="104">
        <f>IF(AC34=0,0,VLOOKUP(AC34,Paramètres!$C$5:$H$42,2,FALSE))</f>
        <v>25</v>
      </c>
      <c r="AN34" s="105">
        <f t="shared" si="7"/>
        <v>1</v>
      </c>
      <c r="AO34" s="88"/>
      <c r="AP34" s="55"/>
      <c r="AQ34" s="103">
        <f t="shared" si="8"/>
        <v>0</v>
      </c>
      <c r="AR34" s="88"/>
    </row>
    <row r="35" spans="1:44" s="2" customFormat="1" ht="20.25" customHeight="1" thickBot="1">
      <c r="A35" s="2" t="s">
        <v>108</v>
      </c>
      <c r="C35" s="124" t="s">
        <v>9</v>
      </c>
      <c r="D35" s="125"/>
      <c r="E35" s="126"/>
      <c r="F35" s="127"/>
      <c r="G35" s="127"/>
      <c r="H35" s="128"/>
      <c r="I35" s="128"/>
      <c r="J35" s="128"/>
      <c r="K35" s="127"/>
      <c r="L35" s="116">
        <f>$V$35</f>
        <v>0</v>
      </c>
      <c r="M35" s="125"/>
      <c r="N35" s="129"/>
      <c r="O35" s="129"/>
      <c r="P35" s="130">
        <f>L35*N35*O35</f>
        <v>0</v>
      </c>
      <c r="Q35" s="116">
        <f>SUM(Q25:Q34)</f>
        <v>0</v>
      </c>
      <c r="R35" s="129"/>
      <c r="S35" s="107">
        <f>SUM(S25:S34)</f>
        <v>0</v>
      </c>
      <c r="V35" s="192">
        <f>SUM(V25:V34)</f>
        <v>0</v>
      </c>
      <c r="AC35" s="124" t="s">
        <v>9</v>
      </c>
      <c r="AD35" s="125"/>
      <c r="AE35" s="126"/>
      <c r="AF35" s="127"/>
      <c r="AG35" s="127"/>
      <c r="AH35" s="128"/>
      <c r="AI35" s="128"/>
      <c r="AJ35" s="128"/>
      <c r="AK35" s="127"/>
      <c r="AL35" s="116">
        <f>$V$35</f>
        <v>0</v>
      </c>
      <c r="AM35" s="125"/>
      <c r="AN35" s="129"/>
      <c r="AO35" s="129"/>
      <c r="AP35" s="130">
        <f>AL35*AN35*AO35</f>
        <v>0</v>
      </c>
      <c r="AQ35" s="116">
        <f>SUM(AQ25:AQ34)</f>
        <v>0</v>
      </c>
      <c r="AR35" s="129"/>
    </row>
    <row r="36" spans="1:44" ht="18.75" customHeight="1" thickTop="1">
      <c r="A36" t="s">
        <v>24</v>
      </c>
      <c r="C36" s="131" t="s">
        <v>71</v>
      </c>
      <c r="D36" s="132"/>
      <c r="E36" s="133"/>
      <c r="F36" s="134"/>
      <c r="G36" s="134"/>
      <c r="H36" s="135"/>
      <c r="I36" s="231" t="s">
        <v>110</v>
      </c>
      <c r="J36" s="231"/>
      <c r="K36" s="134"/>
      <c r="L36" s="117"/>
      <c r="M36" s="136"/>
      <c r="N36" s="134"/>
      <c r="O36" s="134"/>
      <c r="P36" s="117"/>
      <c r="Q36" s="117"/>
      <c r="R36" s="134"/>
      <c r="S36" s="108"/>
      <c r="AC36" s="131" t="s">
        <v>71</v>
      </c>
      <c r="AD36" s="132"/>
      <c r="AE36" s="133"/>
      <c r="AF36" s="134"/>
      <c r="AG36" s="134"/>
      <c r="AH36" s="135"/>
      <c r="AI36" s="231" t="s">
        <v>110</v>
      </c>
      <c r="AJ36" s="231"/>
      <c r="AK36" s="134"/>
      <c r="AL36" s="117"/>
      <c r="AM36" s="136"/>
      <c r="AN36" s="134"/>
      <c r="AO36" s="134"/>
      <c r="AP36" s="117"/>
      <c r="AQ36" s="117"/>
      <c r="AR36" s="134"/>
    </row>
    <row r="37" spans="1:44" ht="30.75" customHeight="1">
      <c r="A37" t="s">
        <v>24</v>
      </c>
      <c r="C37" s="137"/>
      <c r="D37" s="97" t="s">
        <v>23</v>
      </c>
      <c r="E37" s="99" t="s">
        <v>18</v>
      </c>
      <c r="F37" s="84" t="s">
        <v>123</v>
      </c>
      <c r="G37" s="84" t="s">
        <v>124</v>
      </c>
      <c r="H37" s="84" t="s">
        <v>44</v>
      </c>
      <c r="I37" s="232"/>
      <c r="J37" s="232"/>
      <c r="K37" s="99" t="s">
        <v>88</v>
      </c>
      <c r="L37" s="84" t="s">
        <v>0</v>
      </c>
      <c r="M37" s="84" t="s">
        <v>19</v>
      </c>
      <c r="N37" s="84" t="s">
        <v>6</v>
      </c>
      <c r="O37" s="99" t="s">
        <v>10</v>
      </c>
      <c r="P37" s="84" t="s">
        <v>4</v>
      </c>
      <c r="Q37" s="84" t="s">
        <v>8</v>
      </c>
      <c r="R37" s="98" t="s">
        <v>1</v>
      </c>
      <c r="S37" s="100" t="s">
        <v>5</v>
      </c>
      <c r="AC37" s="137"/>
      <c r="AD37" s="97" t="s">
        <v>23</v>
      </c>
      <c r="AE37" s="99" t="s">
        <v>18</v>
      </c>
      <c r="AF37" s="84" t="s">
        <v>123</v>
      </c>
      <c r="AG37" s="84" t="s">
        <v>124</v>
      </c>
      <c r="AH37" s="84" t="s">
        <v>44</v>
      </c>
      <c r="AI37" s="232"/>
      <c r="AJ37" s="232"/>
      <c r="AK37" s="99" t="s">
        <v>88</v>
      </c>
      <c r="AL37" s="84" t="s">
        <v>0</v>
      </c>
      <c r="AM37" s="84" t="s">
        <v>19</v>
      </c>
      <c r="AN37" s="84" t="s">
        <v>6</v>
      </c>
      <c r="AO37" s="99" t="s">
        <v>10</v>
      </c>
      <c r="AP37" s="84" t="s">
        <v>4</v>
      </c>
      <c r="AQ37" s="84" t="s">
        <v>8</v>
      </c>
      <c r="AR37" s="98" t="s">
        <v>1</v>
      </c>
    </row>
    <row r="38" spans="1:44" ht="13.5" customHeight="1">
      <c r="A38" t="s">
        <v>24</v>
      </c>
      <c r="C38" s="75" t="s">
        <v>100</v>
      </c>
      <c r="D38" s="71"/>
      <c r="E38" s="72"/>
      <c r="F38" s="73">
        <v>40</v>
      </c>
      <c r="G38" s="73">
        <v>100</v>
      </c>
      <c r="H38" s="101">
        <f aca="true" t="shared" si="10" ref="H38:H45">F38*G38</f>
        <v>4000</v>
      </c>
      <c r="I38" s="102">
        <f>IF(C38=0,0,VLOOKUP(C38,Paramètres!$C$5:$H$42,3,FALSE))</f>
        <v>11.65</v>
      </c>
      <c r="J38" s="102">
        <f>IF(C38=0,0,VLOOKUP(C38,Paramètres!$C$5:$H$42,4,FALSE))</f>
        <v>17.5</v>
      </c>
      <c r="K38" s="74">
        <f>IF(C38=0,0,VLOOKUP(C38,Paramètres!$C$5:$H$42,5,FALSE))</f>
        <v>12.35</v>
      </c>
      <c r="L38" s="103">
        <f aca="true" t="shared" si="11" ref="L38:L45">H38*K38</f>
        <v>49400</v>
      </c>
      <c r="M38" s="104">
        <f>IF(C38=0,0,VLOOKUP(C38,Paramètres!$C$5:$H$42,2,FALSE))</f>
        <v>40</v>
      </c>
      <c r="N38" s="105">
        <f aca="true" t="shared" si="12" ref="N38:N45">IF(M38=40,POWER(0.95,E38),IF(M38=35,POWER(0.94,E38),IF(M38=30,POWER(0.93,E38),IF(M38=25,POWER(0.91,E38),IF(M38=20,POWER(0.89,E38),IF(M38=15,POWER(0.87,E38),IF(M38=10,POWER(0.8,E38),0)))))))</f>
        <v>1</v>
      </c>
      <c r="O38" s="88"/>
      <c r="P38" s="5">
        <f aca="true" t="shared" si="13" ref="P38:P46">L38*N38*O38</f>
        <v>0</v>
      </c>
      <c r="Q38" s="103">
        <f aca="true" t="shared" si="14" ref="Q38:Q45">IF(E38=0,0,L38*N38*O38)</f>
        <v>0</v>
      </c>
      <c r="R38" s="88"/>
      <c r="S38" s="106">
        <f>Q38*R38</f>
        <v>0</v>
      </c>
      <c r="V38" s="192">
        <f aca="true" t="shared" si="15" ref="V38:V45">IF(Q38=0,0,L38)</f>
        <v>0</v>
      </c>
      <c r="AC38" s="75" t="s">
        <v>100</v>
      </c>
      <c r="AD38" s="71"/>
      <c r="AE38" s="72"/>
      <c r="AF38" s="73">
        <v>40</v>
      </c>
      <c r="AG38" s="73">
        <v>100</v>
      </c>
      <c r="AH38" s="101">
        <f aca="true" t="shared" si="16" ref="AH38:AH45">AF38*AG38</f>
        <v>4000</v>
      </c>
      <c r="AI38" s="102">
        <f>IF(AC38=0,0,VLOOKUP(AC38,Paramètres!$C$5:$H$42,3,FALSE))</f>
        <v>11.65</v>
      </c>
      <c r="AJ38" s="102">
        <f>IF(AC38=0,0,VLOOKUP(AC38,Paramètres!$C$5:$H$42,4,FALSE))</f>
        <v>17.5</v>
      </c>
      <c r="AK38" s="74">
        <f>IF(AC38=0,0,VLOOKUP(AC38,Paramètres!$C$5:$H$42,5,FALSE))</f>
        <v>12.35</v>
      </c>
      <c r="AL38" s="103">
        <f aca="true" t="shared" si="17" ref="AL38:AL45">AH38*AK38</f>
        <v>49400</v>
      </c>
      <c r="AM38" s="104">
        <f>IF(AC38=0,0,VLOOKUP(AC38,Paramètres!$C$5:$H$42,2,FALSE))</f>
        <v>40</v>
      </c>
      <c r="AN38" s="105">
        <f aca="true" t="shared" si="18" ref="AN38:AN45">IF(AM38=40,POWER(0.95,AE38),IF(AM38=35,POWER(0.94,AE38),IF(AM38=30,POWER(0.93,AE38),IF(AM38=25,POWER(0.91,AE38),IF(AM38=20,POWER(0.89,AE38),IF(AM38=15,POWER(0.87,AE38),IF(AM38=10,POWER(0.8,AE38),0)))))))</f>
        <v>1</v>
      </c>
      <c r="AO38" s="88"/>
      <c r="AP38" s="5">
        <f aca="true" t="shared" si="19" ref="AP38:AP46">AL38*AN38*AO38</f>
        <v>0</v>
      </c>
      <c r="AQ38" s="103">
        <f aca="true" t="shared" si="20" ref="AQ38:AQ45">IF(AE38=0,0,AL38*AN38*AO38)</f>
        <v>0</v>
      </c>
      <c r="AR38" s="88"/>
    </row>
    <row r="39" spans="1:44" ht="13.5" customHeight="1">
      <c r="A39" t="s">
        <v>24</v>
      </c>
      <c r="C39" s="75" t="s">
        <v>101</v>
      </c>
      <c r="D39" s="71"/>
      <c r="E39" s="72"/>
      <c r="F39" s="73">
        <v>40</v>
      </c>
      <c r="G39" s="73">
        <v>100</v>
      </c>
      <c r="H39" s="101">
        <f t="shared" si="10"/>
        <v>4000</v>
      </c>
      <c r="I39" s="102">
        <f>IF(C39=0,0,VLOOKUP(C39,Paramètres!$C$5:$H$42,3,FALSE))</f>
        <v>9.15</v>
      </c>
      <c r="J39" s="102">
        <f>IF(C39=0,0,VLOOKUP(C39,Paramètres!$C$5:$H$42,4,FALSE))</f>
        <v>15</v>
      </c>
      <c r="K39" s="74">
        <f>IF(C39=0,0,VLOOKUP(C39,Paramètres!$C$5:$H$42,5,FALSE))</f>
        <v>9.85</v>
      </c>
      <c r="L39" s="103">
        <f t="shared" si="11"/>
        <v>39400</v>
      </c>
      <c r="M39" s="104">
        <f>IF(C39=0,0,VLOOKUP(C39,Paramètres!$C$5:$H$42,2,FALSE))</f>
        <v>35</v>
      </c>
      <c r="N39" s="105">
        <f t="shared" si="12"/>
        <v>1</v>
      </c>
      <c r="O39" s="88"/>
      <c r="P39" s="5">
        <f t="shared" si="13"/>
        <v>0</v>
      </c>
      <c r="Q39" s="103">
        <f t="shared" si="14"/>
        <v>0</v>
      </c>
      <c r="R39" s="88"/>
      <c r="S39" s="106">
        <f aca="true" t="shared" si="21" ref="S39:S45">Q39*R39</f>
        <v>0</v>
      </c>
      <c r="V39" s="192">
        <f t="shared" si="15"/>
        <v>0</v>
      </c>
      <c r="AC39" s="75" t="s">
        <v>101</v>
      </c>
      <c r="AD39" s="71"/>
      <c r="AE39" s="72"/>
      <c r="AF39" s="73">
        <v>40</v>
      </c>
      <c r="AG39" s="73">
        <v>100</v>
      </c>
      <c r="AH39" s="101">
        <f t="shared" si="16"/>
        <v>4000</v>
      </c>
      <c r="AI39" s="102">
        <f>IF(AC39=0,0,VLOOKUP(AC39,Paramètres!$C$5:$H$42,3,FALSE))</f>
        <v>9.15</v>
      </c>
      <c r="AJ39" s="102">
        <f>IF(AC39=0,0,VLOOKUP(AC39,Paramètres!$C$5:$H$42,4,FALSE))</f>
        <v>15</v>
      </c>
      <c r="AK39" s="74">
        <f>IF(AC39=0,0,VLOOKUP(AC39,Paramètres!$C$5:$H$42,5,FALSE))</f>
        <v>9.85</v>
      </c>
      <c r="AL39" s="103">
        <f t="shared" si="17"/>
        <v>39400</v>
      </c>
      <c r="AM39" s="104">
        <f>IF(AC39=0,0,VLOOKUP(AC39,Paramètres!$C$5:$H$42,2,FALSE))</f>
        <v>35</v>
      </c>
      <c r="AN39" s="105">
        <f t="shared" si="18"/>
        <v>1</v>
      </c>
      <c r="AO39" s="88"/>
      <c r="AP39" s="5">
        <f t="shared" si="19"/>
        <v>0</v>
      </c>
      <c r="AQ39" s="103">
        <f t="shared" si="20"/>
        <v>0</v>
      </c>
      <c r="AR39" s="88"/>
    </row>
    <row r="40" spans="1:44" ht="13.5" customHeight="1">
      <c r="A40" t="s">
        <v>24</v>
      </c>
      <c r="C40" s="75" t="s">
        <v>69</v>
      </c>
      <c r="D40" s="71"/>
      <c r="E40" s="72"/>
      <c r="F40" s="73">
        <v>40</v>
      </c>
      <c r="G40" s="73">
        <v>43</v>
      </c>
      <c r="H40" s="101">
        <f t="shared" si="10"/>
        <v>1720</v>
      </c>
      <c r="I40" s="102">
        <f>IF(C40=0,0,VLOOKUP(C40,Paramètres!$C$5:$H$42,3,FALSE))</f>
        <v>30.349999999999998</v>
      </c>
      <c r="J40" s="102">
        <f>IF(C40=0,0,VLOOKUP(C40,Paramètres!$C$5:$H$42,4,FALSE))</f>
        <v>38.57</v>
      </c>
      <c r="K40" s="74">
        <f>IF(C40=0,0,VLOOKUP(C40,Paramètres!$C$5:$H$42,5,FALSE))</f>
        <v>30.65</v>
      </c>
      <c r="L40" s="103">
        <f t="shared" si="11"/>
        <v>52718</v>
      </c>
      <c r="M40" s="104">
        <f>IF(C40=0,0,VLOOKUP(C40,Paramètres!$C$5:$H$42,2,FALSE))</f>
        <v>35</v>
      </c>
      <c r="N40" s="105">
        <f t="shared" si="12"/>
        <v>1</v>
      </c>
      <c r="O40" s="88"/>
      <c r="P40" s="5">
        <f t="shared" si="13"/>
        <v>0</v>
      </c>
      <c r="Q40" s="103">
        <f t="shared" si="14"/>
        <v>0</v>
      </c>
      <c r="R40" s="88"/>
      <c r="S40" s="106">
        <f t="shared" si="21"/>
        <v>0</v>
      </c>
      <c r="V40" s="192">
        <f t="shared" si="15"/>
        <v>0</v>
      </c>
      <c r="AC40" s="75" t="s">
        <v>69</v>
      </c>
      <c r="AD40" s="71"/>
      <c r="AE40" s="72"/>
      <c r="AF40" s="73">
        <v>40</v>
      </c>
      <c r="AG40" s="73">
        <v>43</v>
      </c>
      <c r="AH40" s="101">
        <f t="shared" si="16"/>
        <v>1720</v>
      </c>
      <c r="AI40" s="102">
        <f>IF(AC40=0,0,VLOOKUP(AC40,Paramètres!$C$5:$H$42,3,FALSE))</f>
        <v>30.349999999999998</v>
      </c>
      <c r="AJ40" s="102">
        <f>IF(AC40=0,0,VLOOKUP(AC40,Paramètres!$C$5:$H$42,4,FALSE))</f>
        <v>38.57</v>
      </c>
      <c r="AK40" s="74">
        <f>IF(AC40=0,0,VLOOKUP(AC40,Paramètres!$C$5:$H$42,5,FALSE))</f>
        <v>30.65</v>
      </c>
      <c r="AL40" s="103">
        <f t="shared" si="17"/>
        <v>52718</v>
      </c>
      <c r="AM40" s="104">
        <f>IF(AC40=0,0,VLOOKUP(AC40,Paramètres!$C$5:$H$42,2,FALSE))</f>
        <v>35</v>
      </c>
      <c r="AN40" s="105">
        <f t="shared" si="18"/>
        <v>1</v>
      </c>
      <c r="AO40" s="88"/>
      <c r="AP40" s="5">
        <f t="shared" si="19"/>
        <v>0</v>
      </c>
      <c r="AQ40" s="103">
        <f t="shared" si="20"/>
        <v>0</v>
      </c>
      <c r="AR40" s="88"/>
    </row>
    <row r="41" spans="1:44" ht="13.5" customHeight="1">
      <c r="A41" t="s">
        <v>24</v>
      </c>
      <c r="C41" s="75"/>
      <c r="D41" s="71"/>
      <c r="E41" s="72"/>
      <c r="F41" s="73"/>
      <c r="G41" s="73"/>
      <c r="H41" s="101">
        <f t="shared" si="10"/>
        <v>0</v>
      </c>
      <c r="I41" s="102">
        <f>IF(C41=0,0,VLOOKUP(C41,Paramètres!$C$5:$H$42,3,FALSE))</f>
        <v>0</v>
      </c>
      <c r="J41" s="102">
        <f>IF(C41=0,0,VLOOKUP(C41,Paramètres!$C$5:$H$42,4,FALSE))</f>
        <v>0</v>
      </c>
      <c r="K41" s="74">
        <f>IF(C41=0,0,VLOOKUP(C41,Paramètres!$C$5:$H$42,5,FALSE))</f>
        <v>0</v>
      </c>
      <c r="L41" s="103">
        <f t="shared" si="11"/>
        <v>0</v>
      </c>
      <c r="M41" s="104">
        <f>IF(C41=0,0,VLOOKUP(C41,Paramètres!$C$5:$H$42,2,FALSE))</f>
        <v>0</v>
      </c>
      <c r="N41" s="105">
        <f t="shared" si="12"/>
        <v>0</v>
      </c>
      <c r="O41" s="88"/>
      <c r="P41" s="5">
        <f t="shared" si="13"/>
        <v>0</v>
      </c>
      <c r="Q41" s="103">
        <f t="shared" si="14"/>
        <v>0</v>
      </c>
      <c r="R41" s="88"/>
      <c r="S41" s="106">
        <f t="shared" si="21"/>
        <v>0</v>
      </c>
      <c r="V41" s="192">
        <f t="shared" si="15"/>
        <v>0</v>
      </c>
      <c r="AC41" s="75"/>
      <c r="AD41" s="71"/>
      <c r="AE41" s="72"/>
      <c r="AF41" s="73"/>
      <c r="AG41" s="73"/>
      <c r="AH41" s="101">
        <f t="shared" si="16"/>
        <v>0</v>
      </c>
      <c r="AI41" s="102">
        <f>IF(AC41=0,0,VLOOKUP(AC41,Paramètres!$C$5:$H$42,3,FALSE))</f>
        <v>0</v>
      </c>
      <c r="AJ41" s="102">
        <f>IF(AC41=0,0,VLOOKUP(AC41,Paramètres!$C$5:$H$42,4,FALSE))</f>
        <v>0</v>
      </c>
      <c r="AK41" s="74">
        <f>IF(AC41=0,0,VLOOKUP(AC41,Paramètres!$C$5:$H$42,5,FALSE))</f>
        <v>0</v>
      </c>
      <c r="AL41" s="103">
        <f t="shared" si="17"/>
        <v>0</v>
      </c>
      <c r="AM41" s="104">
        <f>IF(AC41=0,0,VLOOKUP(AC41,Paramètres!$C$5:$H$42,2,FALSE))</f>
        <v>0</v>
      </c>
      <c r="AN41" s="105">
        <f t="shared" si="18"/>
        <v>0</v>
      </c>
      <c r="AO41" s="88"/>
      <c r="AP41" s="5">
        <f t="shared" si="19"/>
        <v>0</v>
      </c>
      <c r="AQ41" s="103">
        <f t="shared" si="20"/>
        <v>0</v>
      </c>
      <c r="AR41" s="88"/>
    </row>
    <row r="42" spans="1:44" ht="13.5" customHeight="1">
      <c r="A42" t="s">
        <v>24</v>
      </c>
      <c r="C42" s="75"/>
      <c r="D42" s="71"/>
      <c r="E42" s="72"/>
      <c r="F42" s="73"/>
      <c r="G42" s="73"/>
      <c r="H42" s="101">
        <f t="shared" si="10"/>
        <v>0</v>
      </c>
      <c r="I42" s="102">
        <f>IF(C42=0,0,VLOOKUP(C42,Paramètres!$C$5:$H$42,3,FALSE))</f>
        <v>0</v>
      </c>
      <c r="J42" s="102">
        <f>IF(C42=0,0,VLOOKUP(C42,Paramètres!$C$5:$H$42,4,FALSE))</f>
        <v>0</v>
      </c>
      <c r="K42" s="74">
        <f>IF(C42=0,0,VLOOKUP(C42,Paramètres!$C$5:$H$42,5,FALSE))</f>
        <v>0</v>
      </c>
      <c r="L42" s="103">
        <f t="shared" si="11"/>
        <v>0</v>
      </c>
      <c r="M42" s="104">
        <f>IF(C42=0,0,VLOOKUP(C42,Paramètres!$C$5:$H$42,2,FALSE))</f>
        <v>0</v>
      </c>
      <c r="N42" s="105">
        <f t="shared" si="12"/>
        <v>0</v>
      </c>
      <c r="O42" s="88"/>
      <c r="P42" s="5">
        <f t="shared" si="13"/>
        <v>0</v>
      </c>
      <c r="Q42" s="103">
        <f t="shared" si="14"/>
        <v>0</v>
      </c>
      <c r="R42" s="88"/>
      <c r="S42" s="106">
        <f t="shared" si="21"/>
        <v>0</v>
      </c>
      <c r="V42" s="192">
        <f t="shared" si="15"/>
        <v>0</v>
      </c>
      <c r="AC42" s="75"/>
      <c r="AD42" s="71"/>
      <c r="AE42" s="72"/>
      <c r="AF42" s="73"/>
      <c r="AG42" s="73"/>
      <c r="AH42" s="101">
        <f t="shared" si="16"/>
        <v>0</v>
      </c>
      <c r="AI42" s="102">
        <f>IF(AC42=0,0,VLOOKUP(AC42,Paramètres!$C$5:$H$42,3,FALSE))</f>
        <v>0</v>
      </c>
      <c r="AJ42" s="102">
        <f>IF(AC42=0,0,VLOOKUP(AC42,Paramètres!$C$5:$H$42,4,FALSE))</f>
        <v>0</v>
      </c>
      <c r="AK42" s="74">
        <f>IF(AC42=0,0,VLOOKUP(AC42,Paramètres!$C$5:$H$42,5,FALSE))</f>
        <v>0</v>
      </c>
      <c r="AL42" s="103">
        <f t="shared" si="17"/>
        <v>0</v>
      </c>
      <c r="AM42" s="104">
        <f>IF(AC42=0,0,VLOOKUP(AC42,Paramètres!$C$5:$H$42,2,FALSE))</f>
        <v>0</v>
      </c>
      <c r="AN42" s="105">
        <f t="shared" si="18"/>
        <v>0</v>
      </c>
      <c r="AO42" s="88"/>
      <c r="AP42" s="5">
        <f t="shared" si="19"/>
        <v>0</v>
      </c>
      <c r="AQ42" s="103">
        <f t="shared" si="20"/>
        <v>0</v>
      </c>
      <c r="AR42" s="88"/>
    </row>
    <row r="43" spans="1:44" ht="13.5" customHeight="1">
      <c r="A43" t="s">
        <v>24</v>
      </c>
      <c r="C43" s="75"/>
      <c r="D43" s="71"/>
      <c r="E43" s="72"/>
      <c r="F43" s="73"/>
      <c r="G43" s="73"/>
      <c r="H43" s="101">
        <f t="shared" si="10"/>
        <v>0</v>
      </c>
      <c r="I43" s="102">
        <f>IF(C43=0,0,VLOOKUP(C43,Paramètres!$C$5:$H$42,3,FALSE))</f>
        <v>0</v>
      </c>
      <c r="J43" s="102">
        <f>IF(C43=0,0,VLOOKUP(C43,Paramètres!$C$5:$H$42,4,FALSE))</f>
        <v>0</v>
      </c>
      <c r="K43" s="74">
        <f>IF(C43=0,0,VLOOKUP(C43,Paramètres!$C$5:$H$42,5,FALSE))</f>
        <v>0</v>
      </c>
      <c r="L43" s="103">
        <f t="shared" si="11"/>
        <v>0</v>
      </c>
      <c r="M43" s="104">
        <f>IF(C43=0,0,VLOOKUP(C43,Paramètres!$C$5:$H$42,2,FALSE))</f>
        <v>0</v>
      </c>
      <c r="N43" s="105">
        <f t="shared" si="12"/>
        <v>0</v>
      </c>
      <c r="O43" s="88"/>
      <c r="P43" s="5">
        <f t="shared" si="13"/>
        <v>0</v>
      </c>
      <c r="Q43" s="103">
        <f t="shared" si="14"/>
        <v>0</v>
      </c>
      <c r="R43" s="88"/>
      <c r="S43" s="106">
        <f t="shared" si="21"/>
        <v>0</v>
      </c>
      <c r="V43" s="192">
        <f t="shared" si="15"/>
        <v>0</v>
      </c>
      <c r="AC43" s="75"/>
      <c r="AD43" s="71"/>
      <c r="AE43" s="72"/>
      <c r="AF43" s="73"/>
      <c r="AG43" s="73"/>
      <c r="AH43" s="101">
        <f t="shared" si="16"/>
        <v>0</v>
      </c>
      <c r="AI43" s="102">
        <f>IF(AC43=0,0,VLOOKUP(AC43,Paramètres!$C$5:$H$42,3,FALSE))</f>
        <v>0</v>
      </c>
      <c r="AJ43" s="102">
        <f>IF(AC43=0,0,VLOOKUP(AC43,Paramètres!$C$5:$H$42,4,FALSE))</f>
        <v>0</v>
      </c>
      <c r="AK43" s="74">
        <f>IF(AC43=0,0,VLOOKUP(AC43,Paramètres!$C$5:$H$42,5,FALSE))</f>
        <v>0</v>
      </c>
      <c r="AL43" s="103">
        <f t="shared" si="17"/>
        <v>0</v>
      </c>
      <c r="AM43" s="104">
        <f>IF(AC43=0,0,VLOOKUP(AC43,Paramètres!$C$5:$H$42,2,FALSE))</f>
        <v>0</v>
      </c>
      <c r="AN43" s="105">
        <f t="shared" si="18"/>
        <v>0</v>
      </c>
      <c r="AO43" s="88"/>
      <c r="AP43" s="5">
        <f t="shared" si="19"/>
        <v>0</v>
      </c>
      <c r="AQ43" s="103">
        <f t="shared" si="20"/>
        <v>0</v>
      </c>
      <c r="AR43" s="88"/>
    </row>
    <row r="44" spans="1:44" ht="13.5" customHeight="1">
      <c r="A44" t="s">
        <v>24</v>
      </c>
      <c r="C44" s="75"/>
      <c r="D44" s="71"/>
      <c r="E44" s="72"/>
      <c r="F44" s="73"/>
      <c r="G44" s="73"/>
      <c r="H44" s="101">
        <f t="shared" si="10"/>
        <v>0</v>
      </c>
      <c r="I44" s="102">
        <f>IF(C44=0,0,VLOOKUP(C44,Paramètres!$C$5:$H$42,3,FALSE))</f>
        <v>0</v>
      </c>
      <c r="J44" s="102">
        <f>IF(C44=0,0,VLOOKUP(C44,Paramètres!$C$5:$H$42,4,FALSE))</f>
        <v>0</v>
      </c>
      <c r="K44" s="74">
        <f>IF(C44=0,0,VLOOKUP(C44,Paramètres!$C$5:$H$42,5,FALSE))</f>
        <v>0</v>
      </c>
      <c r="L44" s="103">
        <f t="shared" si="11"/>
        <v>0</v>
      </c>
      <c r="M44" s="104">
        <f>IF(C44=0,0,VLOOKUP(C44,Paramètres!$C$5:$H$42,2,FALSE))</f>
        <v>0</v>
      </c>
      <c r="N44" s="105">
        <f t="shared" si="12"/>
        <v>0</v>
      </c>
      <c r="O44" s="88"/>
      <c r="P44" s="5">
        <f t="shared" si="13"/>
        <v>0</v>
      </c>
      <c r="Q44" s="103">
        <f t="shared" si="14"/>
        <v>0</v>
      </c>
      <c r="R44" s="88"/>
      <c r="S44" s="106">
        <f t="shared" si="21"/>
        <v>0</v>
      </c>
      <c r="V44" s="192">
        <f t="shared" si="15"/>
        <v>0</v>
      </c>
      <c r="AC44" s="75"/>
      <c r="AD44" s="71"/>
      <c r="AE44" s="72"/>
      <c r="AF44" s="73"/>
      <c r="AG44" s="73"/>
      <c r="AH44" s="101">
        <f t="shared" si="16"/>
        <v>0</v>
      </c>
      <c r="AI44" s="102">
        <f>IF(AC44=0,0,VLOOKUP(AC44,Paramètres!$C$5:$H$42,3,FALSE))</f>
        <v>0</v>
      </c>
      <c r="AJ44" s="102">
        <f>IF(AC44=0,0,VLOOKUP(AC44,Paramètres!$C$5:$H$42,4,FALSE))</f>
        <v>0</v>
      </c>
      <c r="AK44" s="74">
        <f>IF(AC44=0,0,VLOOKUP(AC44,Paramètres!$C$5:$H$42,5,FALSE))</f>
        <v>0</v>
      </c>
      <c r="AL44" s="103">
        <f t="shared" si="17"/>
        <v>0</v>
      </c>
      <c r="AM44" s="104">
        <f>IF(AC44=0,0,VLOOKUP(AC44,Paramètres!$C$5:$H$42,2,FALSE))</f>
        <v>0</v>
      </c>
      <c r="AN44" s="105">
        <f t="shared" si="18"/>
        <v>0</v>
      </c>
      <c r="AO44" s="88"/>
      <c r="AP44" s="5">
        <f t="shared" si="19"/>
        <v>0</v>
      </c>
      <c r="AQ44" s="103">
        <f t="shared" si="20"/>
        <v>0</v>
      </c>
      <c r="AR44" s="88"/>
    </row>
    <row r="45" spans="1:44" ht="13.5" customHeight="1">
      <c r="A45" t="s">
        <v>24</v>
      </c>
      <c r="C45" s="75"/>
      <c r="D45" s="71"/>
      <c r="E45" s="72"/>
      <c r="F45" s="73"/>
      <c r="G45" s="73"/>
      <c r="H45" s="101">
        <f t="shared" si="10"/>
        <v>0</v>
      </c>
      <c r="I45" s="102">
        <f>IF(C45=0,0,VLOOKUP(C45,Paramètres!$C$5:$H$42,3,FALSE))</f>
        <v>0</v>
      </c>
      <c r="J45" s="102">
        <f>IF(C45=0,0,VLOOKUP(C45,Paramètres!$C$5:$H$42,4,FALSE))</f>
        <v>0</v>
      </c>
      <c r="K45" s="74">
        <f>IF(C45=0,0,VLOOKUP(C45,Paramètres!$C$5:$H$42,5,FALSE))</f>
        <v>0</v>
      </c>
      <c r="L45" s="103">
        <f t="shared" si="11"/>
        <v>0</v>
      </c>
      <c r="M45" s="104">
        <f>IF(C45=0,0,VLOOKUP(C45,Paramètres!$C$5:$H$42,2,FALSE))</f>
        <v>0</v>
      </c>
      <c r="N45" s="105">
        <f t="shared" si="12"/>
        <v>0</v>
      </c>
      <c r="O45" s="88"/>
      <c r="P45" s="5">
        <f t="shared" si="13"/>
        <v>0</v>
      </c>
      <c r="Q45" s="103">
        <f t="shared" si="14"/>
        <v>0</v>
      </c>
      <c r="R45" s="88"/>
      <c r="S45" s="106">
        <f t="shared" si="21"/>
        <v>0</v>
      </c>
      <c r="V45" s="192">
        <f t="shared" si="15"/>
        <v>0</v>
      </c>
      <c r="AC45" s="75"/>
      <c r="AD45" s="71"/>
      <c r="AE45" s="72"/>
      <c r="AF45" s="73"/>
      <c r="AG45" s="73"/>
      <c r="AH45" s="101">
        <f t="shared" si="16"/>
        <v>0</v>
      </c>
      <c r="AI45" s="102">
        <f>IF(AC45=0,0,VLOOKUP(AC45,Paramètres!$C$5:$H$42,3,FALSE))</f>
        <v>0</v>
      </c>
      <c r="AJ45" s="102">
        <f>IF(AC45=0,0,VLOOKUP(AC45,Paramètres!$C$5:$H$42,4,FALSE))</f>
        <v>0</v>
      </c>
      <c r="AK45" s="74">
        <f>IF(AC45=0,0,VLOOKUP(AC45,Paramètres!$C$5:$H$42,5,FALSE))</f>
        <v>0</v>
      </c>
      <c r="AL45" s="103">
        <f t="shared" si="17"/>
        <v>0</v>
      </c>
      <c r="AM45" s="104">
        <f>IF(AC45=0,0,VLOOKUP(AC45,Paramètres!$C$5:$H$42,2,FALSE))</f>
        <v>0</v>
      </c>
      <c r="AN45" s="105">
        <f t="shared" si="18"/>
        <v>0</v>
      </c>
      <c r="AO45" s="88"/>
      <c r="AP45" s="5">
        <f t="shared" si="19"/>
        <v>0</v>
      </c>
      <c r="AQ45" s="103">
        <f t="shared" si="20"/>
        <v>0</v>
      </c>
      <c r="AR45" s="88"/>
    </row>
    <row r="46" spans="1:44" ht="21" customHeight="1" thickBot="1">
      <c r="A46" s="37" t="s">
        <v>24</v>
      </c>
      <c r="B46" s="37"/>
      <c r="C46" s="124" t="s">
        <v>9</v>
      </c>
      <c r="D46" s="125"/>
      <c r="E46" s="126"/>
      <c r="F46" s="127"/>
      <c r="G46" s="127"/>
      <c r="H46" s="128"/>
      <c r="I46" s="128"/>
      <c r="J46" s="128"/>
      <c r="K46" s="127"/>
      <c r="L46" s="116">
        <f>$V$46</f>
        <v>0</v>
      </c>
      <c r="M46" s="125"/>
      <c r="N46" s="129"/>
      <c r="O46" s="129"/>
      <c r="P46" s="130">
        <f t="shared" si="13"/>
        <v>0</v>
      </c>
      <c r="Q46" s="116">
        <f>SUM(Q38:Q45)</f>
        <v>0</v>
      </c>
      <c r="R46" s="129"/>
      <c r="S46" s="107">
        <f>SUM(S38:S45)</f>
        <v>0</v>
      </c>
      <c r="V46" s="192">
        <f>SUM(V38:V45)</f>
        <v>0</v>
      </c>
      <c r="AC46" s="124" t="s">
        <v>9</v>
      </c>
      <c r="AD46" s="125"/>
      <c r="AE46" s="126"/>
      <c r="AF46" s="127"/>
      <c r="AG46" s="127"/>
      <c r="AH46" s="128"/>
      <c r="AI46" s="128"/>
      <c r="AJ46" s="128"/>
      <c r="AK46" s="127"/>
      <c r="AL46" s="116">
        <f>$V$46</f>
        <v>0</v>
      </c>
      <c r="AM46" s="125"/>
      <c r="AN46" s="129"/>
      <c r="AO46" s="129"/>
      <c r="AP46" s="130">
        <f t="shared" si="19"/>
        <v>0</v>
      </c>
      <c r="AQ46" s="116">
        <f>SUM(AQ38:AQ45)</f>
        <v>0</v>
      </c>
      <c r="AR46" s="129"/>
    </row>
    <row r="47" spans="1:44" ht="18.75" customHeight="1" thickTop="1">
      <c r="A47" t="s">
        <v>25</v>
      </c>
      <c r="C47" s="131" t="s">
        <v>46</v>
      </c>
      <c r="D47" s="132"/>
      <c r="E47" s="138"/>
      <c r="F47" s="123"/>
      <c r="G47" s="123"/>
      <c r="H47" s="139"/>
      <c r="I47" s="231" t="s">
        <v>111</v>
      </c>
      <c r="J47" s="231"/>
      <c r="K47" s="140"/>
      <c r="L47" s="123"/>
      <c r="M47" s="136"/>
      <c r="N47" s="141"/>
      <c r="O47" s="141"/>
      <c r="P47" s="118"/>
      <c r="Q47" s="118"/>
      <c r="R47" s="142"/>
      <c r="S47" s="109"/>
      <c r="AC47" s="131" t="s">
        <v>46</v>
      </c>
      <c r="AD47" s="132"/>
      <c r="AE47" s="138"/>
      <c r="AF47" s="123"/>
      <c r="AG47" s="123"/>
      <c r="AH47" s="139"/>
      <c r="AI47" s="231" t="s">
        <v>111</v>
      </c>
      <c r="AJ47" s="231"/>
      <c r="AK47" s="140"/>
      <c r="AL47" s="123"/>
      <c r="AM47" s="136"/>
      <c r="AN47" s="141"/>
      <c r="AO47" s="141"/>
      <c r="AP47" s="118"/>
      <c r="AQ47" s="118"/>
      <c r="AR47" s="142"/>
    </row>
    <row r="48" spans="1:44" ht="30.75" customHeight="1">
      <c r="A48" t="s">
        <v>25</v>
      </c>
      <c r="C48" s="137"/>
      <c r="D48" s="97" t="s">
        <v>23</v>
      </c>
      <c r="E48" s="99" t="s">
        <v>18</v>
      </c>
      <c r="F48" s="84" t="s">
        <v>121</v>
      </c>
      <c r="G48" s="84" t="s">
        <v>44</v>
      </c>
      <c r="H48" s="143"/>
      <c r="I48" s="232"/>
      <c r="J48" s="232"/>
      <c r="K48" s="99" t="s">
        <v>88</v>
      </c>
      <c r="L48" s="84" t="s">
        <v>0</v>
      </c>
      <c r="M48" s="84" t="s">
        <v>19</v>
      </c>
      <c r="N48" s="84" t="s">
        <v>6</v>
      </c>
      <c r="O48" s="99" t="s">
        <v>10</v>
      </c>
      <c r="P48" s="84" t="s">
        <v>4</v>
      </c>
      <c r="Q48" s="84" t="s">
        <v>8</v>
      </c>
      <c r="R48" s="98" t="s">
        <v>1</v>
      </c>
      <c r="S48" s="100" t="s">
        <v>5</v>
      </c>
      <c r="AC48" s="137"/>
      <c r="AD48" s="97" t="s">
        <v>23</v>
      </c>
      <c r="AE48" s="99" t="s">
        <v>18</v>
      </c>
      <c r="AF48" s="84" t="s">
        <v>121</v>
      </c>
      <c r="AG48" s="84" t="s">
        <v>44</v>
      </c>
      <c r="AH48" s="143"/>
      <c r="AI48" s="232"/>
      <c r="AJ48" s="232"/>
      <c r="AK48" s="99" t="s">
        <v>88</v>
      </c>
      <c r="AL48" s="84" t="s">
        <v>0</v>
      </c>
      <c r="AM48" s="84" t="s">
        <v>19</v>
      </c>
      <c r="AN48" s="84" t="s">
        <v>6</v>
      </c>
      <c r="AO48" s="99" t="s">
        <v>10</v>
      </c>
      <c r="AP48" s="84" t="s">
        <v>4</v>
      </c>
      <c r="AQ48" s="84" t="s">
        <v>8</v>
      </c>
      <c r="AR48" s="98" t="s">
        <v>1</v>
      </c>
    </row>
    <row r="49" spans="1:44" ht="13.5" customHeight="1">
      <c r="A49" t="s">
        <v>25</v>
      </c>
      <c r="C49" s="78" t="s">
        <v>48</v>
      </c>
      <c r="D49" s="71"/>
      <c r="E49" s="72"/>
      <c r="F49" s="72"/>
      <c r="G49" s="79">
        <v>6200</v>
      </c>
      <c r="H49" s="101"/>
      <c r="I49" s="145">
        <f>IF(C49=0,0,VLOOKUP(C49,Paramètres!$C$5:$H$42,3,FALSE))</f>
        <v>4.7</v>
      </c>
      <c r="J49" s="145">
        <f>IF(C49=0,0,VLOOKUP(C49,Paramètres!$C$5:$H$42,4,FALSE))</f>
        <v>5.75</v>
      </c>
      <c r="K49" s="82">
        <f>IF(C49=0,0,VLOOKUP(C49,Paramètres!$C$5:$H$42,5,FALSE))</f>
        <v>5.25</v>
      </c>
      <c r="L49" s="103">
        <f>G49*K49</f>
        <v>32550</v>
      </c>
      <c r="M49" s="104">
        <f>IF(C49=0,0,VLOOKUP(C49,Paramètres!$C$5:$H$42,2,FALSE))</f>
        <v>20</v>
      </c>
      <c r="N49" s="105">
        <f>IF(M49=40,POWER(0.95,E49),IF(M49=35,POWER(0.94,E49),IF(M49=30,POWER(0.93,E49),IF(M49=25,POWER(0.91,E49),IF(M49=20,POWER(0.89,E49),IF(M49=15,POWER(0.87,E49),IF(M49=10,POWER(0.8,E49),0)))))))</f>
        <v>1</v>
      </c>
      <c r="O49" s="88"/>
      <c r="P49" s="5">
        <f>L49*N49*O49</f>
        <v>0</v>
      </c>
      <c r="Q49" s="103">
        <f>IF(E49=0,0,L49*N49*O49)</f>
        <v>0</v>
      </c>
      <c r="R49" s="88"/>
      <c r="S49" s="106">
        <f>Q49*R49</f>
        <v>0</v>
      </c>
      <c r="V49" s="192">
        <f>IF(Q49=0,0,L49)</f>
        <v>0</v>
      </c>
      <c r="AC49" s="78" t="s">
        <v>48</v>
      </c>
      <c r="AD49" s="71"/>
      <c r="AE49" s="72"/>
      <c r="AF49" s="72"/>
      <c r="AG49" s="79">
        <v>6200</v>
      </c>
      <c r="AH49" s="101"/>
      <c r="AI49" s="145">
        <f>IF(AC49=0,0,VLOOKUP(AC49,Paramètres!$C$5:$H$42,3,FALSE))</f>
        <v>4.7</v>
      </c>
      <c r="AJ49" s="145">
        <f>IF(AC49=0,0,VLOOKUP(AC49,Paramètres!$C$5:$H$42,4,FALSE))</f>
        <v>5.75</v>
      </c>
      <c r="AK49" s="82">
        <f>IF(AC49=0,0,VLOOKUP(AC49,Paramètres!$C$5:$H$42,5,FALSE))</f>
        <v>5.25</v>
      </c>
      <c r="AL49" s="103">
        <f>AG49*AK49</f>
        <v>32550</v>
      </c>
      <c r="AM49" s="104">
        <f>IF(AC49=0,0,VLOOKUP(AC49,Paramètres!$C$5:$H$42,2,FALSE))</f>
        <v>20</v>
      </c>
      <c r="AN49" s="105">
        <f>IF(AM49=40,POWER(0.95,AE49),IF(AM49=35,POWER(0.94,AE49),IF(AM49=30,POWER(0.93,AE49),IF(AM49=25,POWER(0.91,AE49),IF(AM49=20,POWER(0.89,AE49),IF(AM49=15,POWER(0.87,AE49),IF(AM49=10,POWER(0.8,AE49),0)))))))</f>
        <v>1</v>
      </c>
      <c r="AO49" s="88"/>
      <c r="AP49" s="5">
        <f>AL49*AN49*AO49</f>
        <v>0</v>
      </c>
      <c r="AQ49" s="103">
        <f>IF(AE49=0,0,AL49*AN49*AO49)</f>
        <v>0</v>
      </c>
      <c r="AR49" s="88"/>
    </row>
    <row r="50" spans="1:44" ht="13.5" customHeight="1">
      <c r="A50" t="s">
        <v>25</v>
      </c>
      <c r="C50" s="78" t="s">
        <v>49</v>
      </c>
      <c r="D50" s="80"/>
      <c r="E50" s="72"/>
      <c r="F50" s="72" t="s">
        <v>52</v>
      </c>
      <c r="G50" s="81">
        <v>7500</v>
      </c>
      <c r="H50" s="101"/>
      <c r="I50" s="145">
        <f>IF(C50=0,0,VLOOKUP(C50,Paramètres!$C$5:$H$42,3,FALSE))</f>
        <v>8.6</v>
      </c>
      <c r="J50" s="145">
        <f>IF(C50=0,0,VLOOKUP(C50,Paramètres!$C$5:$H$42,4,FALSE))</f>
        <v>12.05</v>
      </c>
      <c r="K50" s="82">
        <f>IF(C50=0,0,VLOOKUP(C50,Paramètres!$C$5:$H$42,5,FALSE))</f>
        <v>10.325</v>
      </c>
      <c r="L50" s="103">
        <f>G50*K50</f>
        <v>77437.5</v>
      </c>
      <c r="M50" s="104">
        <f>IF(C50=0,0,VLOOKUP(C50,Paramètres!$C$5:$H$42,2,FALSE))</f>
        <v>20</v>
      </c>
      <c r="N50" s="105">
        <f>IF(M50=40,POWER(0.95,E50),IF(M50=35,POWER(0.94,E50),IF(M50=30,POWER(0.93,E50),IF(M50=25,POWER(0.91,E50),IF(M50=20,POWER(0.89,E50),IF(M50=15,POWER(0.87,E50),IF(M50=10,POWER(0.8,E50),0)))))))</f>
        <v>1</v>
      </c>
      <c r="O50" s="88"/>
      <c r="P50" s="5">
        <f>L50*N50*O50</f>
        <v>0</v>
      </c>
      <c r="Q50" s="103">
        <f>IF(E50=0,0,L50*N50*O50)</f>
        <v>0</v>
      </c>
      <c r="R50" s="88"/>
      <c r="S50" s="106">
        <f>Q50*R50</f>
        <v>0</v>
      </c>
      <c r="V50" s="192">
        <f>IF(Q50=0,0,L50)</f>
        <v>0</v>
      </c>
      <c r="AC50" s="78" t="s">
        <v>49</v>
      </c>
      <c r="AD50" s="80"/>
      <c r="AE50" s="72"/>
      <c r="AF50" s="72" t="s">
        <v>52</v>
      </c>
      <c r="AG50" s="81">
        <v>7500</v>
      </c>
      <c r="AH50" s="101"/>
      <c r="AI50" s="145">
        <f>IF(AC50=0,0,VLOOKUP(AC50,Paramètres!$C$5:$H$42,3,FALSE))</f>
        <v>8.6</v>
      </c>
      <c r="AJ50" s="145">
        <f>IF(AC50=0,0,VLOOKUP(AC50,Paramètres!$C$5:$H$42,4,FALSE))</f>
        <v>12.05</v>
      </c>
      <c r="AK50" s="82">
        <f>IF(AC50=0,0,VLOOKUP(AC50,Paramètres!$C$5:$H$42,5,FALSE))</f>
        <v>10.325</v>
      </c>
      <c r="AL50" s="103">
        <f>AG50*AK50</f>
        <v>77437.5</v>
      </c>
      <c r="AM50" s="104">
        <f>IF(AC50=0,0,VLOOKUP(AC50,Paramètres!$C$5:$H$42,2,FALSE))</f>
        <v>20</v>
      </c>
      <c r="AN50" s="105">
        <f>IF(AM50=40,POWER(0.95,AE50),IF(AM50=35,POWER(0.94,AE50),IF(AM50=30,POWER(0.93,AE50),IF(AM50=25,POWER(0.91,AE50),IF(AM50=20,POWER(0.89,AE50),IF(AM50=15,POWER(0.87,AE50),IF(AM50=10,POWER(0.8,AE50),0)))))))</f>
        <v>1</v>
      </c>
      <c r="AO50" s="88"/>
      <c r="AP50" s="5">
        <f>AL50*AN50*AO50</f>
        <v>0</v>
      </c>
      <c r="AQ50" s="103">
        <f>IF(AE50=0,0,AL50*AN50*AO50)</f>
        <v>0</v>
      </c>
      <c r="AR50" s="88"/>
    </row>
    <row r="51" spans="1:44" ht="13.5" customHeight="1">
      <c r="A51" t="s">
        <v>25</v>
      </c>
      <c r="C51" s="78" t="s">
        <v>50</v>
      </c>
      <c r="D51" s="71"/>
      <c r="E51" s="72"/>
      <c r="F51" s="72" t="s">
        <v>52</v>
      </c>
      <c r="G51" s="79">
        <v>7530</v>
      </c>
      <c r="H51" s="101"/>
      <c r="I51" s="145">
        <f>IF(C51=0,0,VLOOKUP(C51,Paramètres!$C$5:$H$42,3,FALSE))</f>
        <v>9.42</v>
      </c>
      <c r="J51" s="145">
        <f>IF(C51=0,0,VLOOKUP(C51,Paramètres!$C$5:$H$42,4,FALSE))</f>
        <v>13.65</v>
      </c>
      <c r="K51" s="82">
        <f>IF(C51=0,0,VLOOKUP(C51,Paramètres!$C$5:$H$42,5,FALSE))</f>
        <v>11.535</v>
      </c>
      <c r="L51" s="103">
        <f>G51*K51</f>
        <v>86858.55</v>
      </c>
      <c r="M51" s="104">
        <f>IF(C51=0,0,VLOOKUP(C51,Paramètres!$C$5:$H$42,2,FALSE))</f>
        <v>20</v>
      </c>
      <c r="N51" s="105">
        <f>IF(M51=40,POWER(0.95,E51),IF(M51=35,POWER(0.94,E51),IF(M51=30,POWER(0.93,E51),IF(M51=25,POWER(0.91,E51),IF(M51=20,POWER(0.89,E51),IF(M51=15,POWER(0.87,E51),IF(M51=10,POWER(0.8,E51),0)))))))</f>
        <v>1</v>
      </c>
      <c r="O51" s="88"/>
      <c r="P51" s="5">
        <f>L51*N51*O51</f>
        <v>0</v>
      </c>
      <c r="Q51" s="103">
        <f>IF(E51=0,0,L51*N51*O51)</f>
        <v>0</v>
      </c>
      <c r="R51" s="88"/>
      <c r="S51" s="106">
        <f>Q51*R51</f>
        <v>0</v>
      </c>
      <c r="V51" s="192">
        <f>IF(Q51=0,0,L51)</f>
        <v>0</v>
      </c>
      <c r="AC51" s="78" t="s">
        <v>50</v>
      </c>
      <c r="AD51" s="71"/>
      <c r="AE51" s="72"/>
      <c r="AF51" s="72" t="s">
        <v>52</v>
      </c>
      <c r="AG51" s="79">
        <v>7530</v>
      </c>
      <c r="AH51" s="101"/>
      <c r="AI51" s="145">
        <f>IF(AC51=0,0,VLOOKUP(AC51,Paramètres!$C$5:$H$42,3,FALSE))</f>
        <v>9.42</v>
      </c>
      <c r="AJ51" s="145">
        <f>IF(AC51=0,0,VLOOKUP(AC51,Paramètres!$C$5:$H$42,4,FALSE))</f>
        <v>13.65</v>
      </c>
      <c r="AK51" s="82">
        <f>IF(AC51=0,0,VLOOKUP(AC51,Paramètres!$C$5:$H$42,5,FALSE))</f>
        <v>11.535</v>
      </c>
      <c r="AL51" s="103">
        <f>AG51*AK51</f>
        <v>86858.55</v>
      </c>
      <c r="AM51" s="104">
        <f>IF(AC51=0,0,VLOOKUP(AC51,Paramètres!$C$5:$H$42,2,FALSE))</f>
        <v>20</v>
      </c>
      <c r="AN51" s="105">
        <f>IF(AM51=40,POWER(0.95,AE51),IF(AM51=35,POWER(0.94,AE51),IF(AM51=30,POWER(0.93,AE51),IF(AM51=25,POWER(0.91,AE51),IF(AM51=20,POWER(0.89,AE51),IF(AM51=15,POWER(0.87,AE51),IF(AM51=10,POWER(0.8,AE51),0)))))))</f>
        <v>1</v>
      </c>
      <c r="AO51" s="88"/>
      <c r="AP51" s="5">
        <f>AL51*AN51*AO51</f>
        <v>0</v>
      </c>
      <c r="AQ51" s="103">
        <f>IF(AE51=0,0,AL51*AN51*AO51)</f>
        <v>0</v>
      </c>
      <c r="AR51" s="88"/>
    </row>
    <row r="52" spans="1:44" ht="31.5" customHeight="1">
      <c r="A52" t="s">
        <v>25</v>
      </c>
      <c r="C52" s="144"/>
      <c r="D52" s="12"/>
      <c r="E52" s="99" t="s">
        <v>18</v>
      </c>
      <c r="F52" s="84" t="s">
        <v>122</v>
      </c>
      <c r="G52" s="84" t="s">
        <v>121</v>
      </c>
      <c r="H52" s="83" t="s">
        <v>51</v>
      </c>
      <c r="I52" s="145"/>
      <c r="J52" s="145"/>
      <c r="K52" s="146" t="s">
        <v>89</v>
      </c>
      <c r="L52" s="147"/>
      <c r="M52" s="104"/>
      <c r="N52" s="105"/>
      <c r="O52" s="148"/>
      <c r="P52" s="103"/>
      <c r="Q52" s="119"/>
      <c r="R52" s="103"/>
      <c r="S52" s="110"/>
      <c r="V52" s="192">
        <f>IF(Q52=0,0,L52)</f>
        <v>0</v>
      </c>
      <c r="AC52" s="144"/>
      <c r="AD52" s="12"/>
      <c r="AE52" s="99" t="s">
        <v>18</v>
      </c>
      <c r="AF52" s="84" t="s">
        <v>122</v>
      </c>
      <c r="AG52" s="84" t="s">
        <v>121</v>
      </c>
      <c r="AH52" s="84" t="s">
        <v>51</v>
      </c>
      <c r="AI52" s="145"/>
      <c r="AJ52" s="145"/>
      <c r="AK52" s="146" t="s">
        <v>89</v>
      </c>
      <c r="AL52" s="147"/>
      <c r="AM52" s="104"/>
      <c r="AN52" s="105"/>
      <c r="AO52" s="148"/>
      <c r="AP52" s="103"/>
      <c r="AQ52" s="119"/>
      <c r="AR52" s="103"/>
    </row>
    <row r="53" spans="1:44" ht="13.5" customHeight="1">
      <c r="A53" t="s">
        <v>25</v>
      </c>
      <c r="C53" s="78" t="s">
        <v>47</v>
      </c>
      <c r="D53" s="71"/>
      <c r="E53" s="72"/>
      <c r="F53" s="72" t="s">
        <v>54</v>
      </c>
      <c r="G53" s="79" t="s">
        <v>53</v>
      </c>
      <c r="H53" s="101">
        <v>27032</v>
      </c>
      <c r="I53" s="145">
        <f>IF(C53=0,0,VLOOKUP(C53,Paramètres!$C$5:$H$42,3,FALSE))</f>
        <v>0.84</v>
      </c>
      <c r="J53" s="145">
        <f>IF(C53=0,0,VLOOKUP(C53,Paramètres!$C$5:$H$42,4,FALSE))</f>
        <v>3.1</v>
      </c>
      <c r="K53" s="82">
        <f>IF(C53=0,0,VLOOKUP(C53,Paramètres!$C$5:$H$42,5,FALSE))</f>
        <v>1.97</v>
      </c>
      <c r="L53" s="103">
        <f>H53*K53</f>
        <v>53253.04</v>
      </c>
      <c r="M53" s="104">
        <f>IF(C53=0,0,VLOOKUP(C53,Paramètres!$C$5:$H$42,2,FALSE))</f>
        <v>20</v>
      </c>
      <c r="N53" s="105">
        <f>IF(M53=40,POWER(0.95,E53),IF(M53=35,POWER(0.94,E53),IF(M53=30,POWER(0.93,E53),IF(M53=25,POWER(0.91,E53),IF(M53=20,POWER(0.89,E53),IF(M53=15,POWER(0.87,E53),IF(M53=10,POWER(0.8,E53),0)))))))</f>
        <v>1</v>
      </c>
      <c r="O53" s="88"/>
      <c r="P53" s="5">
        <f>L53*N53*O53</f>
        <v>0</v>
      </c>
      <c r="Q53" s="103">
        <f>IF(E53=0,0,L53*N53*O53)</f>
        <v>0</v>
      </c>
      <c r="R53" s="88"/>
      <c r="S53" s="106">
        <f>Q53*R53</f>
        <v>0</v>
      </c>
      <c r="V53" s="192">
        <f>IF(Q53=0,0,L53)</f>
        <v>0</v>
      </c>
      <c r="AC53" s="78" t="s">
        <v>47</v>
      </c>
      <c r="AD53" s="71"/>
      <c r="AE53" s="72"/>
      <c r="AF53" s="72" t="s">
        <v>54</v>
      </c>
      <c r="AG53" s="79" t="s">
        <v>53</v>
      </c>
      <c r="AH53" s="101">
        <v>27032</v>
      </c>
      <c r="AI53" s="145">
        <f>IF(AC53=0,0,VLOOKUP(AC53,Paramètres!$C$5:$H$42,3,FALSE))</f>
        <v>0.84</v>
      </c>
      <c r="AJ53" s="145">
        <f>IF(AC53=0,0,VLOOKUP(AC53,Paramètres!$C$5:$H$42,4,FALSE))</f>
        <v>3.1</v>
      </c>
      <c r="AK53" s="82">
        <f>IF(AC53=0,0,VLOOKUP(AC53,Paramètres!$C$5:$H$42,5,FALSE))</f>
        <v>1.97</v>
      </c>
      <c r="AL53" s="103">
        <f>AH53*AK53</f>
        <v>53253.04</v>
      </c>
      <c r="AM53" s="104">
        <f>IF(AC53=0,0,VLOOKUP(AC53,Paramètres!$C$5:$H$42,2,FALSE))</f>
        <v>20</v>
      </c>
      <c r="AN53" s="105">
        <f>IF(AM53=40,POWER(0.95,AE53),IF(AM53=35,POWER(0.94,AE53),IF(AM53=30,POWER(0.93,AE53),IF(AM53=25,POWER(0.91,AE53),IF(AM53=20,POWER(0.89,AE53),IF(AM53=15,POWER(0.87,AE53),IF(AM53=10,POWER(0.8,AE53),0)))))))</f>
        <v>1</v>
      </c>
      <c r="AO53" s="88"/>
      <c r="AP53" s="5">
        <f>AL53*AN53*AO53</f>
        <v>0</v>
      </c>
      <c r="AQ53" s="103">
        <f>IF(AE53=0,0,AL53*AN53*AO53)</f>
        <v>0</v>
      </c>
      <c r="AR53" s="88"/>
    </row>
    <row r="54" spans="1:44" ht="16.5" customHeight="1" thickBot="1">
      <c r="A54" s="13" t="s">
        <v>25</v>
      </c>
      <c r="B54" s="13"/>
      <c r="C54" s="124" t="s">
        <v>9</v>
      </c>
      <c r="D54" s="125"/>
      <c r="E54" s="126"/>
      <c r="F54" s="127"/>
      <c r="G54" s="127"/>
      <c r="H54" s="128"/>
      <c r="I54" s="128"/>
      <c r="J54" s="128"/>
      <c r="K54" s="127"/>
      <c r="L54" s="116">
        <f>$V$54</f>
        <v>0</v>
      </c>
      <c r="M54" s="125"/>
      <c r="N54" s="129"/>
      <c r="O54" s="129"/>
      <c r="P54" s="10"/>
      <c r="Q54" s="116">
        <f>SUM(Q49:Q53)</f>
        <v>0</v>
      </c>
      <c r="R54" s="129"/>
      <c r="S54" s="107">
        <f>SUM(S49:S53)</f>
        <v>0</v>
      </c>
      <c r="V54" s="192">
        <f>SUM(V49:V53)</f>
        <v>0</v>
      </c>
      <c r="AC54" s="124" t="s">
        <v>9</v>
      </c>
      <c r="AD54" s="125"/>
      <c r="AE54" s="126"/>
      <c r="AF54" s="127"/>
      <c r="AG54" s="127"/>
      <c r="AH54" s="128"/>
      <c r="AI54" s="128"/>
      <c r="AJ54" s="128"/>
      <c r="AK54" s="127"/>
      <c r="AL54" s="116">
        <f>$V$54</f>
        <v>0</v>
      </c>
      <c r="AM54" s="125"/>
      <c r="AN54" s="129"/>
      <c r="AO54" s="129"/>
      <c r="AP54" s="10"/>
      <c r="AQ54" s="116">
        <f>SUM(AQ49:AQ53)</f>
        <v>0</v>
      </c>
      <c r="AR54" s="129"/>
    </row>
    <row r="55" spans="1:44" ht="18.75" customHeight="1" thickTop="1">
      <c r="A55" s="13" t="s">
        <v>26</v>
      </c>
      <c r="B55" s="13"/>
      <c r="C55" s="236" t="s">
        <v>68</v>
      </c>
      <c r="D55" s="237"/>
      <c r="E55" s="238"/>
      <c r="F55" s="238"/>
      <c r="G55" s="238"/>
      <c r="H55" s="93"/>
      <c r="I55" s="93"/>
      <c r="J55" s="93"/>
      <c r="K55" s="92"/>
      <c r="L55" s="120"/>
      <c r="M55" s="90"/>
      <c r="N55" s="153"/>
      <c r="O55" s="153"/>
      <c r="P55" s="23"/>
      <c r="Q55" s="120"/>
      <c r="R55" s="153"/>
      <c r="S55" s="111"/>
      <c r="AC55" s="236" t="s">
        <v>68</v>
      </c>
      <c r="AD55" s="237"/>
      <c r="AE55" s="238"/>
      <c r="AF55" s="238"/>
      <c r="AG55" s="238"/>
      <c r="AH55" s="93"/>
      <c r="AI55" s="93"/>
      <c r="AJ55" s="93"/>
      <c r="AK55" s="92"/>
      <c r="AL55" s="120"/>
      <c r="AM55" s="90"/>
      <c r="AN55" s="153"/>
      <c r="AO55" s="153"/>
      <c r="AP55" s="23"/>
      <c r="AQ55" s="120"/>
      <c r="AR55" s="153"/>
    </row>
    <row r="56" spans="1:44" ht="15.75" customHeight="1">
      <c r="A56" s="13" t="s">
        <v>26</v>
      </c>
      <c r="B56" s="13"/>
      <c r="C56" s="144"/>
      <c r="D56" s="94"/>
      <c r="E56" s="91"/>
      <c r="F56" s="235" t="s">
        <v>20</v>
      </c>
      <c r="G56" s="235"/>
      <c r="H56" s="93"/>
      <c r="I56" s="231" t="s">
        <v>111</v>
      </c>
      <c r="J56" s="231"/>
      <c r="K56" s="90"/>
      <c r="L56" s="120"/>
      <c r="M56" s="90"/>
      <c r="N56" s="153"/>
      <c r="O56" s="153"/>
      <c r="P56" s="23"/>
      <c r="Q56" s="120"/>
      <c r="R56" s="153"/>
      <c r="S56" s="111"/>
      <c r="AC56" s="144"/>
      <c r="AD56" s="94"/>
      <c r="AE56" s="91"/>
      <c r="AF56" s="235" t="s">
        <v>20</v>
      </c>
      <c r="AG56" s="235"/>
      <c r="AH56" s="93"/>
      <c r="AI56" s="231" t="s">
        <v>111</v>
      </c>
      <c r="AJ56" s="231"/>
      <c r="AK56" s="90"/>
      <c r="AL56" s="120"/>
      <c r="AM56" s="90"/>
      <c r="AN56" s="153"/>
      <c r="AO56" s="153"/>
      <c r="AP56" s="23"/>
      <c r="AQ56" s="120"/>
      <c r="AR56" s="153"/>
    </row>
    <row r="57" spans="1:44" ht="30.75" customHeight="1">
      <c r="A57" s="13" t="s">
        <v>26</v>
      </c>
      <c r="B57" s="13"/>
      <c r="C57" s="137"/>
      <c r="D57" s="97" t="s">
        <v>23</v>
      </c>
      <c r="E57" s="99" t="s">
        <v>18</v>
      </c>
      <c r="F57" s="84" t="s">
        <v>122</v>
      </c>
      <c r="G57" s="84" t="s">
        <v>121</v>
      </c>
      <c r="H57" s="149"/>
      <c r="I57" s="232"/>
      <c r="J57" s="232"/>
      <c r="K57" s="99" t="s">
        <v>112</v>
      </c>
      <c r="L57" s="84" t="s">
        <v>0</v>
      </c>
      <c r="M57" s="84" t="s">
        <v>19</v>
      </c>
      <c r="N57" s="84" t="s">
        <v>6</v>
      </c>
      <c r="O57" s="99" t="s">
        <v>10</v>
      </c>
      <c r="P57" s="8" t="s">
        <v>4</v>
      </c>
      <c r="Q57" s="84" t="s">
        <v>8</v>
      </c>
      <c r="R57" s="98" t="s">
        <v>1</v>
      </c>
      <c r="S57" s="100" t="s">
        <v>5</v>
      </c>
      <c r="AC57" s="137"/>
      <c r="AD57" s="97" t="s">
        <v>23</v>
      </c>
      <c r="AE57" s="99" t="s">
        <v>18</v>
      </c>
      <c r="AF57" s="84" t="s">
        <v>122</v>
      </c>
      <c r="AG57" s="84" t="s">
        <v>121</v>
      </c>
      <c r="AH57" s="149"/>
      <c r="AI57" s="232"/>
      <c r="AJ57" s="232"/>
      <c r="AK57" s="99" t="s">
        <v>112</v>
      </c>
      <c r="AL57" s="84" t="s">
        <v>0</v>
      </c>
      <c r="AM57" s="84" t="s">
        <v>19</v>
      </c>
      <c r="AN57" s="84" t="s">
        <v>6</v>
      </c>
      <c r="AO57" s="99" t="s">
        <v>10</v>
      </c>
      <c r="AP57" s="8" t="s">
        <v>4</v>
      </c>
      <c r="AQ57" s="84" t="s">
        <v>8</v>
      </c>
      <c r="AR57" s="98" t="s">
        <v>1</v>
      </c>
    </row>
    <row r="58" spans="1:44" ht="13.5" customHeight="1">
      <c r="A58" t="s">
        <v>26</v>
      </c>
      <c r="C58" s="75" t="s">
        <v>16</v>
      </c>
      <c r="D58" s="71"/>
      <c r="E58" s="72"/>
      <c r="F58" s="85">
        <v>20</v>
      </c>
      <c r="G58" s="85">
        <v>80</v>
      </c>
      <c r="H58" s="150"/>
      <c r="I58" s="151">
        <f>IF(C58=0,0,VLOOKUP(C58,Paramètres!$C$5:$H$42,3,FALSE))</f>
        <v>61635</v>
      </c>
      <c r="J58" s="151">
        <f>IF(C58=0,0,VLOOKUP(C58,Paramètres!$C$5:$H$42,4,FALSE))</f>
        <v>89275</v>
      </c>
      <c r="K58" s="79">
        <f>IF(C58=0,0,VLOOKUP(C58,Paramètres!$C$5:$H$42,5,FALSE))</f>
        <v>77315</v>
      </c>
      <c r="L58" s="121">
        <f>K58</f>
        <v>77315</v>
      </c>
      <c r="M58" s="104">
        <f>IF(C58=0,0,VLOOKUP(C58,Paramètres!$C$5:$H$42,2,FALSE))</f>
        <v>30</v>
      </c>
      <c r="N58" s="105">
        <f aca="true" t="shared" si="22" ref="N58:N63">IF(M58=40,POWER(0.95,E58),IF(M58=35,POWER(0.94,E58),IF(M58=30,POWER(0.93,E58),IF(M58=25,POWER(0.91,E58),IF(M58=20,POWER(0.89,E58),IF(M58=15,POWER(0.87,E58),IF(M58=10,POWER(0.8,E58),0)))))))</f>
        <v>1</v>
      </c>
      <c r="O58" s="88"/>
      <c r="P58" s="5">
        <f>L58*N58*O58</f>
        <v>0</v>
      </c>
      <c r="Q58" s="103">
        <f aca="true" t="shared" si="23" ref="Q58:Q63">IF(E58=0,0,L58*N58*O58)</f>
        <v>0</v>
      </c>
      <c r="R58" s="88"/>
      <c r="S58" s="106">
        <f>Q58*R58</f>
        <v>0</v>
      </c>
      <c r="V58" s="192">
        <f aca="true" t="shared" si="24" ref="V58:V66">IF(Q58=0,0,L58)</f>
        <v>0</v>
      </c>
      <c r="AC58" s="75" t="s">
        <v>16</v>
      </c>
      <c r="AD58" s="71"/>
      <c r="AE58" s="72"/>
      <c r="AF58" s="85">
        <v>20</v>
      </c>
      <c r="AG58" s="85">
        <v>80</v>
      </c>
      <c r="AH58" s="150"/>
      <c r="AI58" s="151">
        <f>IF(AC58=0,0,VLOOKUP(AC58,Paramètres!$C$5:$H$42,3,FALSE))</f>
        <v>61635</v>
      </c>
      <c r="AJ58" s="151">
        <f>IF(AC58=0,0,VLOOKUP(AC58,Paramètres!$C$5:$H$42,4,FALSE))</f>
        <v>89275</v>
      </c>
      <c r="AK58" s="79">
        <f>IF(AC58=0,0,VLOOKUP(AC58,Paramètres!$C$5:$H$42,5,FALSE))</f>
        <v>77315</v>
      </c>
      <c r="AL58" s="121">
        <f>AK58</f>
        <v>77315</v>
      </c>
      <c r="AM58" s="104">
        <f>IF(AC58=0,0,VLOOKUP(AC58,Paramètres!$C$5:$H$42,2,FALSE))</f>
        <v>30</v>
      </c>
      <c r="AN58" s="105">
        <f aca="true" t="shared" si="25" ref="AN58:AN63">IF(AM58=40,POWER(0.95,AE58),IF(AM58=35,POWER(0.94,AE58),IF(AM58=30,POWER(0.93,AE58),IF(AM58=25,POWER(0.91,AE58),IF(AM58=20,POWER(0.89,AE58),IF(AM58=15,POWER(0.87,AE58),IF(AM58=10,POWER(0.8,AE58),0)))))))</f>
        <v>1</v>
      </c>
      <c r="AO58" s="88"/>
      <c r="AP58" s="5">
        <f>AL58*AN58*AO58</f>
        <v>0</v>
      </c>
      <c r="AQ58" s="103">
        <f aca="true" t="shared" si="26" ref="AQ58:AQ66">IF(AE58=0,0,AL58*AN58*AO58)</f>
        <v>0</v>
      </c>
      <c r="AR58" s="88"/>
    </row>
    <row r="59" spans="1:44" ht="13.5" customHeight="1">
      <c r="A59" t="s">
        <v>26</v>
      </c>
      <c r="C59" s="75" t="s">
        <v>66</v>
      </c>
      <c r="D59" s="71"/>
      <c r="E59" s="72"/>
      <c r="F59" s="85">
        <v>20</v>
      </c>
      <c r="G59" s="85">
        <v>80</v>
      </c>
      <c r="H59" s="150"/>
      <c r="I59" s="151">
        <f>IF(C59=0,0,VLOOKUP(C59,Paramètres!$C$5:$H$42,3,FALSE))</f>
        <v>64539</v>
      </c>
      <c r="J59" s="151">
        <f>IF(C59=0,0,VLOOKUP(C59,Paramètres!$C$5:$H$42,4,FALSE))</f>
        <v>77739</v>
      </c>
      <c r="K59" s="79">
        <f>IF(C59=0,0,VLOOKUP(C59,Paramètres!$C$5:$H$42,5,FALSE))</f>
        <v>64539</v>
      </c>
      <c r="L59" s="121">
        <f aca="true" t="shared" si="27" ref="L59:L66">K59</f>
        <v>64539</v>
      </c>
      <c r="M59" s="104">
        <f>IF(C59=0,0,VLOOKUP(C59,Paramètres!$C$5:$H$42,2,FALSE))</f>
        <v>30</v>
      </c>
      <c r="N59" s="105">
        <f t="shared" si="22"/>
        <v>1</v>
      </c>
      <c r="O59" s="88"/>
      <c r="P59" s="5">
        <f>L59*N59*O59</f>
        <v>0</v>
      </c>
      <c r="Q59" s="103">
        <f t="shared" si="23"/>
        <v>0</v>
      </c>
      <c r="R59" s="88"/>
      <c r="S59" s="106">
        <f aca="true" t="shared" si="28" ref="S59:S66">Q59*R59</f>
        <v>0</v>
      </c>
      <c r="V59" s="192">
        <f t="shared" si="24"/>
        <v>0</v>
      </c>
      <c r="AC59" s="75" t="s">
        <v>66</v>
      </c>
      <c r="AD59" s="71"/>
      <c r="AE59" s="72"/>
      <c r="AF59" s="85">
        <v>20</v>
      </c>
      <c r="AG59" s="85">
        <v>80</v>
      </c>
      <c r="AH59" s="150"/>
      <c r="AI59" s="151">
        <f>IF(AC59=0,0,VLOOKUP(AC59,Paramètres!$C$5:$H$42,3,FALSE))</f>
        <v>64539</v>
      </c>
      <c r="AJ59" s="151">
        <f>IF(AC59=0,0,VLOOKUP(AC59,Paramètres!$C$5:$H$42,4,FALSE))</f>
        <v>77739</v>
      </c>
      <c r="AK59" s="79">
        <f>IF(AC59=0,0,VLOOKUP(AC59,Paramètres!$C$5:$H$42,5,FALSE))</f>
        <v>64539</v>
      </c>
      <c r="AL59" s="121">
        <f aca="true" t="shared" si="29" ref="AL59:AL66">AK59</f>
        <v>64539</v>
      </c>
      <c r="AM59" s="104">
        <f>IF(AC59=0,0,VLOOKUP(AC59,Paramètres!$C$5:$H$42,2,FALSE))</f>
        <v>30</v>
      </c>
      <c r="AN59" s="105">
        <f t="shared" si="25"/>
        <v>1</v>
      </c>
      <c r="AO59" s="88"/>
      <c r="AP59" s="5">
        <f>AL59*AN59*AO59</f>
        <v>0</v>
      </c>
      <c r="AQ59" s="103">
        <f t="shared" si="26"/>
        <v>0</v>
      </c>
      <c r="AR59" s="88"/>
    </row>
    <row r="60" spans="1:44" ht="13.5" customHeight="1">
      <c r="A60" t="s">
        <v>26</v>
      </c>
      <c r="C60" s="75"/>
      <c r="D60" s="71"/>
      <c r="E60" s="72"/>
      <c r="F60" s="85"/>
      <c r="G60" s="85"/>
      <c r="H60" s="150"/>
      <c r="I60" s="151">
        <f>IF(C60=0,0,VLOOKUP(C60,Paramètres!$C$5:$H$42,3,FALSE))</f>
        <v>0</v>
      </c>
      <c r="J60" s="151">
        <f>IF(C60=0,0,VLOOKUP(C60,Paramètres!$C$5:$H$42,4,FALSE))</f>
        <v>0</v>
      </c>
      <c r="K60" s="79">
        <f>IF(C60=0,0,VLOOKUP(C60,Paramètres!$C$5:$H$42,5,FALSE))</f>
        <v>0</v>
      </c>
      <c r="L60" s="121">
        <f t="shared" si="27"/>
        <v>0</v>
      </c>
      <c r="M60" s="104">
        <f>IF(C60=0,0,VLOOKUP(C60,Paramètres!$C$5:$H$42,2,FALSE))</f>
        <v>0</v>
      </c>
      <c r="N60" s="105">
        <f t="shared" si="22"/>
        <v>0</v>
      </c>
      <c r="O60" s="88"/>
      <c r="P60" s="5">
        <f>L60*N60*O60</f>
        <v>0</v>
      </c>
      <c r="Q60" s="103">
        <f t="shared" si="23"/>
        <v>0</v>
      </c>
      <c r="R60" s="88"/>
      <c r="S60" s="106">
        <f t="shared" si="28"/>
        <v>0</v>
      </c>
      <c r="V60" s="192">
        <f t="shared" si="24"/>
        <v>0</v>
      </c>
      <c r="AC60" s="75"/>
      <c r="AD60" s="71"/>
      <c r="AE60" s="72"/>
      <c r="AF60" s="85"/>
      <c r="AG60" s="85"/>
      <c r="AH60" s="150"/>
      <c r="AI60" s="151">
        <f>IF(AC60=0,0,VLOOKUP(AC60,Paramètres!$C$5:$H$42,3,FALSE))</f>
        <v>0</v>
      </c>
      <c r="AJ60" s="151">
        <f>IF(AC60=0,0,VLOOKUP(AC60,Paramètres!$C$5:$H$42,4,FALSE))</f>
        <v>0</v>
      </c>
      <c r="AK60" s="79">
        <f>IF(AC60=0,0,VLOOKUP(AC60,Paramètres!$C$5:$H$42,5,FALSE))</f>
        <v>0</v>
      </c>
      <c r="AL60" s="121">
        <f t="shared" si="29"/>
        <v>0</v>
      </c>
      <c r="AM60" s="104">
        <f>IF(AC60=0,0,VLOOKUP(AC60,Paramètres!$C$5:$H$42,2,FALSE))</f>
        <v>0</v>
      </c>
      <c r="AN60" s="105">
        <f t="shared" si="25"/>
        <v>0</v>
      </c>
      <c r="AO60" s="88"/>
      <c r="AP60" s="5">
        <f>AL60*AN60*AO60</f>
        <v>0</v>
      </c>
      <c r="AQ60" s="103">
        <f t="shared" si="26"/>
        <v>0</v>
      </c>
      <c r="AR60" s="88"/>
    </row>
    <row r="61" spans="1:44" ht="13.5" customHeight="1">
      <c r="A61" t="s">
        <v>26</v>
      </c>
      <c r="C61" s="75" t="s">
        <v>59</v>
      </c>
      <c r="D61" s="71"/>
      <c r="E61" s="72"/>
      <c r="F61" s="85" t="s">
        <v>60</v>
      </c>
      <c r="G61" s="85" t="s">
        <v>61</v>
      </c>
      <c r="H61" s="150"/>
      <c r="I61" s="151">
        <f>IF(C61=0,0,VLOOKUP(C61,Paramètres!$C$5:$H$42,3,FALSE))</f>
        <v>4221</v>
      </c>
      <c r="J61" s="151">
        <f>IF(C61=0,0,VLOOKUP(C61,Paramètres!$C$5:$H$42,4,FALSE))</f>
        <v>24714</v>
      </c>
      <c r="K61" s="79">
        <f>IF(C61=0,0,VLOOKUP(C61,Paramètres!$C$5:$H$42,5,FALSE))</f>
        <v>14467.5</v>
      </c>
      <c r="L61" s="121">
        <f t="shared" si="27"/>
        <v>14467.5</v>
      </c>
      <c r="M61" s="104">
        <f>IF(C61=0,0,VLOOKUP(C61,Paramètres!$C$5:$H$42,2,FALSE))</f>
        <v>20</v>
      </c>
      <c r="N61" s="105">
        <f t="shared" si="22"/>
        <v>1</v>
      </c>
      <c r="O61" s="88"/>
      <c r="P61" s="5">
        <f>L61*N61*O61</f>
        <v>0</v>
      </c>
      <c r="Q61" s="103">
        <f t="shared" si="23"/>
        <v>0</v>
      </c>
      <c r="R61" s="88"/>
      <c r="S61" s="106">
        <f t="shared" si="28"/>
        <v>0</v>
      </c>
      <c r="V61" s="192">
        <f t="shared" si="24"/>
        <v>0</v>
      </c>
      <c r="AC61" s="75" t="s">
        <v>59</v>
      </c>
      <c r="AD61" s="71"/>
      <c r="AE61" s="72"/>
      <c r="AF61" s="85" t="s">
        <v>60</v>
      </c>
      <c r="AG61" s="85" t="s">
        <v>61</v>
      </c>
      <c r="AH61" s="150"/>
      <c r="AI61" s="151">
        <f>IF(AC61=0,0,VLOOKUP(AC61,Paramètres!$C$5:$H$42,3,FALSE))</f>
        <v>4221</v>
      </c>
      <c r="AJ61" s="151">
        <f>IF(AC61=0,0,VLOOKUP(AC61,Paramètres!$C$5:$H$42,4,FALSE))</f>
        <v>24714</v>
      </c>
      <c r="AK61" s="79">
        <f>IF(AC61=0,0,VLOOKUP(AC61,Paramètres!$C$5:$H$42,5,FALSE))</f>
        <v>14467.5</v>
      </c>
      <c r="AL61" s="121">
        <f t="shared" si="29"/>
        <v>14467.5</v>
      </c>
      <c r="AM61" s="104">
        <f>IF(AC61=0,0,VLOOKUP(AC61,Paramètres!$C$5:$H$42,2,FALSE))</f>
        <v>20</v>
      </c>
      <c r="AN61" s="105">
        <f t="shared" si="25"/>
        <v>1</v>
      </c>
      <c r="AO61" s="88"/>
      <c r="AP61" s="5">
        <f>AL61*AN61*AO61</f>
        <v>0</v>
      </c>
      <c r="AQ61" s="103">
        <f t="shared" si="26"/>
        <v>0</v>
      </c>
      <c r="AR61" s="88"/>
    </row>
    <row r="62" spans="1:44" ht="13.5" customHeight="1">
      <c r="A62" t="s">
        <v>26</v>
      </c>
      <c r="C62" s="75" t="s">
        <v>58</v>
      </c>
      <c r="D62" s="71"/>
      <c r="E62" s="72"/>
      <c r="F62" s="85" t="s">
        <v>62</v>
      </c>
      <c r="G62" s="85" t="s">
        <v>63</v>
      </c>
      <c r="H62" s="150"/>
      <c r="I62" s="151">
        <f>IF(C62=0,0,VLOOKUP(C62,Paramètres!$C$5:$H$42,3,FALSE))</f>
        <v>36000</v>
      </c>
      <c r="J62" s="151">
        <f>IF(C62=0,0,VLOOKUP(C62,Paramètres!$C$5:$H$42,4,FALSE))</f>
        <v>72400</v>
      </c>
      <c r="K62" s="79">
        <f>IF(C62=0,0,VLOOKUP(C62,Paramètres!$C$5:$H$42,5,FALSE))</f>
        <v>54200</v>
      </c>
      <c r="L62" s="121">
        <f t="shared" si="27"/>
        <v>54200</v>
      </c>
      <c r="M62" s="104">
        <f>IF(C62=0,0,VLOOKUP(C62,Paramètres!$C$5:$H$42,2,FALSE))</f>
        <v>30</v>
      </c>
      <c r="N62" s="105">
        <f t="shared" si="22"/>
        <v>1</v>
      </c>
      <c r="O62" s="88"/>
      <c r="P62" s="5">
        <f>L62*N62*O62</f>
        <v>0</v>
      </c>
      <c r="Q62" s="103">
        <f t="shared" si="23"/>
        <v>0</v>
      </c>
      <c r="R62" s="88"/>
      <c r="S62" s="106">
        <f t="shared" si="28"/>
        <v>0</v>
      </c>
      <c r="V62" s="192">
        <f t="shared" si="24"/>
        <v>0</v>
      </c>
      <c r="AC62" s="75" t="s">
        <v>58</v>
      </c>
      <c r="AD62" s="71"/>
      <c r="AE62" s="72"/>
      <c r="AF62" s="85" t="s">
        <v>62</v>
      </c>
      <c r="AG62" s="85" t="s">
        <v>63</v>
      </c>
      <c r="AH62" s="150"/>
      <c r="AI62" s="151">
        <f>IF(AC62=0,0,VLOOKUP(AC62,Paramètres!$C$5:$H$42,3,FALSE))</f>
        <v>36000</v>
      </c>
      <c r="AJ62" s="151">
        <f>IF(AC62=0,0,VLOOKUP(AC62,Paramètres!$C$5:$H$42,4,FALSE))</f>
        <v>72400</v>
      </c>
      <c r="AK62" s="79">
        <f>IF(AC62=0,0,VLOOKUP(AC62,Paramètres!$C$5:$H$42,5,FALSE))</f>
        <v>54200</v>
      </c>
      <c r="AL62" s="121">
        <f t="shared" si="29"/>
        <v>54200</v>
      </c>
      <c r="AM62" s="104">
        <f>IF(AC62=0,0,VLOOKUP(AC62,Paramètres!$C$5:$H$42,2,FALSE))</f>
        <v>30</v>
      </c>
      <c r="AN62" s="105">
        <f t="shared" si="25"/>
        <v>1</v>
      </c>
      <c r="AO62" s="88"/>
      <c r="AP62" s="5">
        <f>AL62*AN62*AO62</f>
        <v>0</v>
      </c>
      <c r="AQ62" s="103">
        <f t="shared" si="26"/>
        <v>0</v>
      </c>
      <c r="AR62" s="88"/>
    </row>
    <row r="63" spans="1:44" ht="15.75" customHeight="1">
      <c r="A63" t="s">
        <v>26</v>
      </c>
      <c r="C63" s="75" t="s">
        <v>57</v>
      </c>
      <c r="D63" s="71"/>
      <c r="E63" s="72"/>
      <c r="F63" s="85" t="s">
        <v>64</v>
      </c>
      <c r="G63" s="85" t="s">
        <v>65</v>
      </c>
      <c r="H63" s="150"/>
      <c r="I63" s="151">
        <f>IF(C63=0,0,VLOOKUP(C63,Paramètres!$C$5:$H$42,3,FALSE))</f>
        <v>17459</v>
      </c>
      <c r="J63" s="151">
        <f>IF(C63=0,0,VLOOKUP(C63,Paramètres!$C$5:$H$42,4,FALSE))</f>
        <v>100465</v>
      </c>
      <c r="K63" s="79">
        <f>IF(C63=0,0,VLOOKUP(C63,Paramètres!$C$5:$H$42,5,FALSE))</f>
        <v>58962</v>
      </c>
      <c r="L63" s="121">
        <f t="shared" si="27"/>
        <v>58962</v>
      </c>
      <c r="M63" s="104">
        <f>IF(C63=0,0,VLOOKUP(C63,Paramètres!$C$5:$H$42,2,FALSE))</f>
        <v>30</v>
      </c>
      <c r="N63" s="105">
        <f t="shared" si="22"/>
        <v>1</v>
      </c>
      <c r="O63" s="88"/>
      <c r="P63" s="23"/>
      <c r="Q63" s="103">
        <f t="shared" si="23"/>
        <v>0</v>
      </c>
      <c r="R63" s="88"/>
      <c r="S63" s="106">
        <f t="shared" si="28"/>
        <v>0</v>
      </c>
      <c r="V63" s="192">
        <f t="shared" si="24"/>
        <v>0</v>
      </c>
      <c r="AC63" s="75" t="s">
        <v>57</v>
      </c>
      <c r="AD63" s="71"/>
      <c r="AE63" s="72"/>
      <c r="AF63" s="85" t="s">
        <v>64</v>
      </c>
      <c r="AG63" s="85" t="s">
        <v>65</v>
      </c>
      <c r="AH63" s="150"/>
      <c r="AI63" s="151">
        <f>IF(AC63=0,0,VLOOKUP(AC63,Paramètres!$C$5:$H$42,3,FALSE))</f>
        <v>17459</v>
      </c>
      <c r="AJ63" s="151">
        <f>IF(AC63=0,0,VLOOKUP(AC63,Paramètres!$C$5:$H$42,4,FALSE))</f>
        <v>100465</v>
      </c>
      <c r="AK63" s="79">
        <f>IF(AC63=0,0,VLOOKUP(AC63,Paramètres!$C$5:$H$42,5,FALSE))</f>
        <v>58962</v>
      </c>
      <c r="AL63" s="121">
        <f t="shared" si="29"/>
        <v>58962</v>
      </c>
      <c r="AM63" s="104">
        <f>IF(AC63=0,0,VLOOKUP(AC63,Paramètres!$C$5:$H$42,2,FALSE))</f>
        <v>30</v>
      </c>
      <c r="AN63" s="105">
        <f t="shared" si="25"/>
        <v>1</v>
      </c>
      <c r="AO63" s="88"/>
      <c r="AP63" s="23"/>
      <c r="AQ63" s="103">
        <f t="shared" si="26"/>
        <v>0</v>
      </c>
      <c r="AR63" s="88"/>
    </row>
    <row r="64" spans="1:44" ht="30" customHeight="1">
      <c r="A64" t="s">
        <v>26</v>
      </c>
      <c r="C64" s="159"/>
      <c r="D64" s="12"/>
      <c r="E64" s="99" t="s">
        <v>18</v>
      </c>
      <c r="F64" s="84" t="s">
        <v>44</v>
      </c>
      <c r="G64" s="84" t="s">
        <v>121</v>
      </c>
      <c r="H64" s="83" t="s">
        <v>51</v>
      </c>
      <c r="I64" s="151"/>
      <c r="J64" s="151"/>
      <c r="K64" s="146" t="s">
        <v>89</v>
      </c>
      <c r="L64" s="121"/>
      <c r="M64" s="104"/>
      <c r="N64" s="154"/>
      <c r="O64" s="148"/>
      <c r="P64" s="120"/>
      <c r="Q64" s="121"/>
      <c r="R64" s="148"/>
      <c r="S64" s="112"/>
      <c r="V64" s="192">
        <f t="shared" si="24"/>
        <v>0</v>
      </c>
      <c r="AC64" s="159"/>
      <c r="AD64" s="12"/>
      <c r="AE64" s="99" t="s">
        <v>18</v>
      </c>
      <c r="AF64" s="84" t="s">
        <v>44</v>
      </c>
      <c r="AG64" s="84" t="s">
        <v>121</v>
      </c>
      <c r="AH64" s="83" t="s">
        <v>51</v>
      </c>
      <c r="AI64" s="151"/>
      <c r="AJ64" s="151"/>
      <c r="AK64" s="146" t="s">
        <v>89</v>
      </c>
      <c r="AL64" s="121"/>
      <c r="AM64" s="104"/>
      <c r="AN64" s="154"/>
      <c r="AO64" s="148"/>
      <c r="AP64" s="120"/>
      <c r="AQ64" s="121"/>
      <c r="AR64" s="148"/>
    </row>
    <row r="65" spans="1:44" ht="13.5" customHeight="1">
      <c r="A65" t="s">
        <v>26</v>
      </c>
      <c r="C65" s="75" t="s">
        <v>56</v>
      </c>
      <c r="D65" s="71"/>
      <c r="E65" s="72"/>
      <c r="F65" s="85">
        <v>118</v>
      </c>
      <c r="G65" s="85">
        <v>8</v>
      </c>
      <c r="H65" s="150">
        <f>G65*F65*E65</f>
        <v>0</v>
      </c>
      <c r="I65" s="151">
        <f>IF(C65=0,0,VLOOKUP(C65,Paramètres!$C$5:$H$42,3,FALSE))</f>
        <v>0.75</v>
      </c>
      <c r="J65" s="151">
        <f>IF(C65=0,0,VLOOKUP(C65,Paramètres!$C$5:$H$42,4,FALSE))</f>
        <v>0.85</v>
      </c>
      <c r="K65" s="208">
        <f>IF(C65=0,0,VLOOKUP(C65,Paramètres!$C$5:$H$42,5,FALSE))</f>
        <v>0.8</v>
      </c>
      <c r="L65" s="121">
        <f>K65*H65</f>
        <v>0</v>
      </c>
      <c r="M65" s="104">
        <f>IF(C65=0,0,VLOOKUP(C65,Paramètres!$C$5:$H$42,2,FALSE))</f>
        <v>30</v>
      </c>
      <c r="N65" s="105">
        <f>IF(M65=40,POWER(0.95,E65),IF(M65=35,POWER(0.94,E65),IF(M65=30,POWER(0.93,E65),IF(M65=25,POWER(0.91,E65),IF(M65=20,POWER(0.89,E65),IF(M65=15,POWER(0.87,E65),IF(M65=10,POWER(0.8,E65),0)))))))</f>
        <v>1</v>
      </c>
      <c r="O65" s="88"/>
      <c r="P65" s="5"/>
      <c r="Q65" s="103">
        <f>IF(E65=0,0,L65*N65*O65)</f>
        <v>0</v>
      </c>
      <c r="R65" s="88"/>
      <c r="S65" s="106">
        <f>Q65*R65</f>
        <v>0</v>
      </c>
      <c r="V65" s="192">
        <f t="shared" si="24"/>
        <v>0</v>
      </c>
      <c r="AC65" s="75" t="s">
        <v>56</v>
      </c>
      <c r="AD65" s="71"/>
      <c r="AE65" s="72"/>
      <c r="AF65" s="85">
        <v>118</v>
      </c>
      <c r="AG65" s="85">
        <v>8</v>
      </c>
      <c r="AH65" s="150">
        <f>AG65*AF65*AE65</f>
        <v>0</v>
      </c>
      <c r="AI65" s="151">
        <f>IF(AC65=0,0,VLOOKUP(AC65,Paramètres!$C$5:$H$42,3,FALSE))</f>
        <v>0.75</v>
      </c>
      <c r="AJ65" s="151">
        <f>IF(AC65=0,0,VLOOKUP(AC65,Paramètres!$C$5:$H$42,4,FALSE))</f>
        <v>0.85</v>
      </c>
      <c r="AK65" s="79">
        <f>IF(AC65=0,0,VLOOKUP(AC65,Paramètres!$C$5:$H$42,5,FALSE))</f>
        <v>0.8</v>
      </c>
      <c r="AL65" s="121">
        <f>AK65*AH65</f>
        <v>0</v>
      </c>
      <c r="AM65" s="104">
        <f>IF(AC65=0,0,VLOOKUP(AC65,Paramètres!$C$5:$H$42,2,FALSE))</f>
        <v>30</v>
      </c>
      <c r="AN65" s="105">
        <f>IF(AM65=40,POWER(0.95,AE65),IF(AM65=35,POWER(0.94,AE65),IF(AM65=30,POWER(0.93,AE65),IF(AM65=25,POWER(0.91,AE65),IF(AM65=20,POWER(0.89,AE65),IF(AM65=15,POWER(0.87,AE65),IF(AM65=10,POWER(0.8,AE65),0)))))))</f>
        <v>1</v>
      </c>
      <c r="AO65" s="88"/>
      <c r="AP65" s="5"/>
      <c r="AQ65" s="103">
        <f t="shared" si="26"/>
        <v>0</v>
      </c>
      <c r="AR65" s="88"/>
    </row>
    <row r="66" spans="1:44" ht="13.5" customHeight="1">
      <c r="A66" t="s">
        <v>26</v>
      </c>
      <c r="C66" s="75"/>
      <c r="D66" s="71"/>
      <c r="E66" s="72"/>
      <c r="F66" s="85"/>
      <c r="G66" s="85"/>
      <c r="H66" s="150">
        <f>G66*F66*E66</f>
        <v>0</v>
      </c>
      <c r="I66" s="151">
        <f>IF(C66=0,0,VLOOKUP(C66,Paramètres!$C$5:$H$42,3,FALSE))</f>
        <v>0</v>
      </c>
      <c r="J66" s="151">
        <f>IF(C66=0,0,VLOOKUP(C66,Paramètres!$C$5:$H$42,4,FALSE))</f>
        <v>0</v>
      </c>
      <c r="K66" s="79">
        <f>IF(C66=0,0,VLOOKUP(C66,Paramètres!$C$5:$H$42,5,FALSE))</f>
        <v>0</v>
      </c>
      <c r="L66" s="121">
        <f t="shared" si="27"/>
        <v>0</v>
      </c>
      <c r="M66" s="104">
        <f>IF(C66=0,0,VLOOKUP(C66,Paramètres!$C$5:$H$42,2,FALSE))</f>
        <v>0</v>
      </c>
      <c r="N66" s="105">
        <f>IF(M66=40,POWER(0.95,E66),IF(M66=35,POWER(0.94,E66),IF(M66=30,POWER(0.93,E66),IF(M66=25,POWER(0.91,E66),IF(M66=20,POWER(0.89,E66),IF(M66=15,POWER(0.87,E66),IF(M66=10,POWER(0.8,E66),0)))))))</f>
        <v>0</v>
      </c>
      <c r="O66" s="88"/>
      <c r="P66" s="5"/>
      <c r="Q66" s="103">
        <f>IF(E66=0,0,L66*N66*O66)</f>
        <v>0</v>
      </c>
      <c r="R66" s="88"/>
      <c r="S66" s="106">
        <f t="shared" si="28"/>
        <v>0</v>
      </c>
      <c r="V66" s="192">
        <f t="shared" si="24"/>
        <v>0</v>
      </c>
      <c r="AC66" s="75"/>
      <c r="AD66" s="71"/>
      <c r="AE66" s="72"/>
      <c r="AF66" s="85"/>
      <c r="AG66" s="85"/>
      <c r="AH66" s="150">
        <f>AG66*AF66*AE66</f>
        <v>0</v>
      </c>
      <c r="AI66" s="151">
        <f>IF(AC66=0,0,VLOOKUP(AC66,Paramètres!$C$5:$H$42,3,FALSE))</f>
        <v>0</v>
      </c>
      <c r="AJ66" s="151">
        <f>IF(AC66=0,0,VLOOKUP(AC66,Paramètres!$C$5:$H$42,4,FALSE))</f>
        <v>0</v>
      </c>
      <c r="AK66" s="79">
        <f>IF(AC66=0,0,VLOOKUP(AC66,Paramètres!$C$5:$H$42,5,FALSE))</f>
        <v>0</v>
      </c>
      <c r="AL66" s="121">
        <f t="shared" si="29"/>
        <v>0</v>
      </c>
      <c r="AM66" s="104">
        <f>IF(AC66=0,0,VLOOKUP(AC66,Paramètres!$C$5:$H$42,2,FALSE))</f>
        <v>0</v>
      </c>
      <c r="AN66" s="105">
        <f>IF(AM66=40,POWER(0.95,AE66),IF(AM66=35,POWER(0.94,AE66),IF(AM66=30,POWER(0.93,AE66),IF(AM66=25,POWER(0.91,AE66),IF(AM66=20,POWER(0.89,AE66),IF(AM66=15,POWER(0.87,AE66),IF(AM66=10,POWER(0.8,AE66),0)))))))</f>
        <v>0</v>
      </c>
      <c r="AO66" s="88"/>
      <c r="AP66" s="5"/>
      <c r="AQ66" s="103">
        <f t="shared" si="26"/>
        <v>0</v>
      </c>
      <c r="AR66" s="88"/>
    </row>
    <row r="67" spans="1:44" ht="16.5" customHeight="1" thickBot="1">
      <c r="A67" s="13" t="s">
        <v>26</v>
      </c>
      <c r="B67" s="13"/>
      <c r="C67" s="124" t="s">
        <v>9</v>
      </c>
      <c r="D67" s="125"/>
      <c r="E67" s="126"/>
      <c r="F67" s="127"/>
      <c r="G67" s="127"/>
      <c r="H67" s="128"/>
      <c r="I67" s="128"/>
      <c r="J67" s="128"/>
      <c r="K67" s="127"/>
      <c r="L67" s="116">
        <f>$V$67</f>
        <v>0</v>
      </c>
      <c r="M67" s="125"/>
      <c r="N67" s="129"/>
      <c r="O67" s="129"/>
      <c r="P67" s="116"/>
      <c r="Q67" s="116">
        <f>SUM(Q58:Q66)</f>
        <v>0</v>
      </c>
      <c r="R67" s="129"/>
      <c r="S67" s="107">
        <f>SUM(S58:S66)</f>
        <v>0</v>
      </c>
      <c r="V67" s="192">
        <f>SUM(V58:V66)</f>
        <v>0</v>
      </c>
      <c r="AC67" s="124" t="s">
        <v>9</v>
      </c>
      <c r="AD67" s="125"/>
      <c r="AE67" s="126"/>
      <c r="AF67" s="127"/>
      <c r="AG67" s="127"/>
      <c r="AH67" s="128"/>
      <c r="AI67" s="128"/>
      <c r="AJ67" s="128"/>
      <c r="AK67" s="127"/>
      <c r="AL67" s="116">
        <f>$V$67</f>
        <v>0</v>
      </c>
      <c r="AM67" s="125"/>
      <c r="AN67" s="129"/>
      <c r="AO67" s="129"/>
      <c r="AP67" s="116"/>
      <c r="AQ67" s="116">
        <f>SUM(AQ58:AQ66)</f>
        <v>0</v>
      </c>
      <c r="AR67" s="129"/>
    </row>
    <row r="68" spans="1:44" ht="18.75" customHeight="1" thickTop="1">
      <c r="A68" s="13" t="s">
        <v>27</v>
      </c>
      <c r="B68" s="13"/>
      <c r="C68" s="131" t="s">
        <v>43</v>
      </c>
      <c r="D68" s="132"/>
      <c r="E68" s="138"/>
      <c r="F68" s="123"/>
      <c r="G68" s="123"/>
      <c r="H68" s="140"/>
      <c r="I68" s="231" t="s">
        <v>110</v>
      </c>
      <c r="J68" s="231"/>
      <c r="K68" s="140"/>
      <c r="L68" s="122"/>
      <c r="M68" s="140"/>
      <c r="N68" s="155"/>
      <c r="O68" s="155"/>
      <c r="P68" s="122"/>
      <c r="Q68" s="122"/>
      <c r="R68" s="155"/>
      <c r="S68" s="113"/>
      <c r="AC68" s="131" t="s">
        <v>43</v>
      </c>
      <c r="AD68" s="132"/>
      <c r="AE68" s="138"/>
      <c r="AF68" s="123"/>
      <c r="AG68" s="123"/>
      <c r="AH68" s="140"/>
      <c r="AI68" s="231" t="s">
        <v>110</v>
      </c>
      <c r="AJ68" s="231"/>
      <c r="AK68" s="140"/>
      <c r="AL68" s="122"/>
      <c r="AM68" s="140"/>
      <c r="AN68" s="155"/>
      <c r="AO68" s="155"/>
      <c r="AP68" s="122"/>
      <c r="AQ68" s="122"/>
      <c r="AR68" s="155"/>
    </row>
    <row r="69" spans="1:44" ht="30.75" customHeight="1">
      <c r="A69" s="13" t="s">
        <v>27</v>
      </c>
      <c r="B69" s="13"/>
      <c r="C69" s="137"/>
      <c r="D69" s="97" t="s">
        <v>23</v>
      </c>
      <c r="E69" s="99" t="s">
        <v>18</v>
      </c>
      <c r="F69" s="84" t="s">
        <v>123</v>
      </c>
      <c r="G69" s="84" t="s">
        <v>124</v>
      </c>
      <c r="H69" s="84" t="s">
        <v>44</v>
      </c>
      <c r="I69" s="232"/>
      <c r="J69" s="232"/>
      <c r="K69" s="99" t="s">
        <v>88</v>
      </c>
      <c r="L69" s="84" t="s">
        <v>0</v>
      </c>
      <c r="M69" s="84" t="s">
        <v>19</v>
      </c>
      <c r="N69" s="84" t="s">
        <v>6</v>
      </c>
      <c r="O69" s="99" t="s">
        <v>10</v>
      </c>
      <c r="P69" s="84" t="s">
        <v>4</v>
      </c>
      <c r="Q69" s="84" t="s">
        <v>8</v>
      </c>
      <c r="R69" s="98" t="s">
        <v>1</v>
      </c>
      <c r="S69" s="100" t="s">
        <v>5</v>
      </c>
      <c r="AC69" s="137"/>
      <c r="AD69" s="97" t="s">
        <v>23</v>
      </c>
      <c r="AE69" s="99" t="s">
        <v>18</v>
      </c>
      <c r="AF69" s="84" t="s">
        <v>123</v>
      </c>
      <c r="AG69" s="84" t="s">
        <v>124</v>
      </c>
      <c r="AH69" s="84" t="s">
        <v>44</v>
      </c>
      <c r="AI69" s="232"/>
      <c r="AJ69" s="232"/>
      <c r="AK69" s="99" t="s">
        <v>88</v>
      </c>
      <c r="AL69" s="84" t="s">
        <v>0</v>
      </c>
      <c r="AM69" s="84" t="s">
        <v>19</v>
      </c>
      <c r="AN69" s="84" t="s">
        <v>6</v>
      </c>
      <c r="AO69" s="99" t="s">
        <v>10</v>
      </c>
      <c r="AP69" s="84" t="s">
        <v>4</v>
      </c>
      <c r="AQ69" s="84" t="s">
        <v>8</v>
      </c>
      <c r="AR69" s="98" t="s">
        <v>1</v>
      </c>
    </row>
    <row r="70" spans="1:44" ht="13.5" customHeight="1">
      <c r="A70" t="s">
        <v>27</v>
      </c>
      <c r="B70" s="41">
        <f>IF(C70=0,0,VLOOKUP(C70,Paramètres!$C$5:$I$43,7,FALSE))</f>
        <v>0</v>
      </c>
      <c r="C70" s="75" t="s">
        <v>39</v>
      </c>
      <c r="D70" s="71"/>
      <c r="E70" s="72"/>
      <c r="F70" s="73">
        <v>40.5</v>
      </c>
      <c r="G70" s="73">
        <v>200</v>
      </c>
      <c r="H70" s="150">
        <f>F70*G70*B70</f>
        <v>0</v>
      </c>
      <c r="I70" s="151">
        <f>IF(C70=0,0,VLOOKUP(C70,Paramètres!$C$5:$H$42,3,FALSE))</f>
        <v>31.37</v>
      </c>
      <c r="J70" s="151">
        <f>IF(C70=0,0,VLOOKUP(C70,Paramètres!$C$5:$H$42,4,FALSE))</f>
        <v>32.66</v>
      </c>
      <c r="K70" s="86">
        <f>IF(C70=0,0,VLOOKUP(C70,Paramètres!$C$5:$H$42,5,FALSE))</f>
        <v>32</v>
      </c>
      <c r="L70" s="121">
        <f>H70*K70</f>
        <v>0</v>
      </c>
      <c r="M70" s="156">
        <f>IF(C70=0,0,VLOOKUP(C70,Paramètres!$C$5:$H$42,2,FALSE))</f>
        <v>20</v>
      </c>
      <c r="N70" s="105">
        <f>IF(M70=40,POWER(0.95,E70),IF(M70=35,POWER(0.94,E70),IF(M70=30,POWER(0.93,E70),IF(M70=25,POWER(0.91,E70),IF(M70=20,POWER(0.89,E70),IF(M70=15,POWER(0.87,E70),IF(M70=10,POWER(0.8,E70),0)))))))</f>
        <v>1</v>
      </c>
      <c r="O70" s="88"/>
      <c r="P70" s="28"/>
      <c r="Q70" s="103">
        <f>IF(E70=0,0,L70*N70*O70)</f>
        <v>0</v>
      </c>
      <c r="R70" s="88"/>
      <c r="S70" s="114">
        <f>R70*Q70</f>
        <v>0</v>
      </c>
      <c r="V70" s="192">
        <f>IF(Q70=0,0,L70)</f>
        <v>0</v>
      </c>
      <c r="AC70" s="75" t="s">
        <v>39</v>
      </c>
      <c r="AD70" s="71"/>
      <c r="AE70" s="72"/>
      <c r="AF70" s="73">
        <v>40.5</v>
      </c>
      <c r="AG70" s="73">
        <v>200</v>
      </c>
      <c r="AH70" s="150">
        <f>AF70*AG70*AB70</f>
        <v>0</v>
      </c>
      <c r="AI70" s="151">
        <f>IF(AC70=0,0,VLOOKUP(AC70,Paramètres!$C$5:$H$42,3,FALSE))</f>
        <v>31.37</v>
      </c>
      <c r="AJ70" s="151">
        <f>IF(AC70=0,0,VLOOKUP(AC70,Paramètres!$C$5:$H$42,4,FALSE))</f>
        <v>32.66</v>
      </c>
      <c r="AK70" s="86">
        <f>IF(AC70=0,0,VLOOKUP(AC70,Paramètres!$C$5:$H$42,5,FALSE))</f>
        <v>32</v>
      </c>
      <c r="AL70" s="121">
        <f>AH70*AK70</f>
        <v>0</v>
      </c>
      <c r="AM70" s="156">
        <f>IF(AC70=0,0,VLOOKUP(AC70,Paramètres!$C$5:$H$42,2,FALSE))</f>
        <v>20</v>
      </c>
      <c r="AN70" s="105">
        <f>IF(AM70=40,POWER(0.95,AE70),IF(AM70=35,POWER(0.94,AE70),IF(AM70=30,POWER(0.93,AE70),IF(AM70=25,POWER(0.91,AE70),IF(AM70=20,POWER(0.89,AE70),IF(AM70=15,POWER(0.87,AE70),IF(AM70=10,POWER(0.8,AE70),0)))))))</f>
        <v>1</v>
      </c>
      <c r="AO70" s="88"/>
      <c r="AP70" s="28"/>
      <c r="AQ70" s="103">
        <f>IF(AE70=0,0,AL70*AN70*AO70)</f>
        <v>0</v>
      </c>
      <c r="AR70" s="88"/>
    </row>
    <row r="71" spans="1:44" ht="13.5" customHeight="1">
      <c r="A71" t="s">
        <v>27</v>
      </c>
      <c r="B71" s="41">
        <f>IF(C71=0,0,VLOOKUP(C71,Paramètres!$C$5:$I$43,7,FALSE))</f>
        <v>0</v>
      </c>
      <c r="C71" s="75" t="s">
        <v>40</v>
      </c>
      <c r="D71" s="71"/>
      <c r="E71" s="72"/>
      <c r="F71" s="73">
        <v>40.5</v>
      </c>
      <c r="G71" s="73">
        <v>200</v>
      </c>
      <c r="H71" s="150">
        <f>F71*G71*B71</f>
        <v>0</v>
      </c>
      <c r="I71" s="151">
        <f>IF(C71=0,0,VLOOKUP(C71,Paramètres!$C$5:$H$42,3,FALSE))</f>
        <v>23.37</v>
      </c>
      <c r="J71" s="151">
        <f>IF(C71=0,0,VLOOKUP(C71,Paramètres!$C$5:$H$42,4,FALSE))</f>
        <v>24.88</v>
      </c>
      <c r="K71" s="86">
        <f>IF(C71=0,0,VLOOKUP(C71,Paramètres!$C$5:$H$42,5,FALSE))</f>
        <v>24</v>
      </c>
      <c r="L71" s="121">
        <f>H71*K71</f>
        <v>0</v>
      </c>
      <c r="M71" s="156">
        <f>IF(C71=0,0,VLOOKUP(C71,Paramètres!$C$5:$H$42,2,FALSE))</f>
        <v>20</v>
      </c>
      <c r="N71" s="105">
        <f>IF(M71=40,POWER(0.95,E71),IF(M71=35,POWER(0.94,E71),IF(M71=30,POWER(0.93,E71),IF(M71=25,POWER(0.91,E71),IF(M71=20,POWER(0.89,E71),IF(M71=15,POWER(0.87,E71),IF(M71=10,POWER(0.8,E71),0)))))))</f>
        <v>1</v>
      </c>
      <c r="O71" s="88"/>
      <c r="P71" s="28"/>
      <c r="Q71" s="103">
        <f>IF(E71=0,0,L71*N71*O71)</f>
        <v>0</v>
      </c>
      <c r="R71" s="88"/>
      <c r="S71" s="114">
        <f>R71*Q71</f>
        <v>0</v>
      </c>
      <c r="V71" s="192">
        <f>IF(Q71=0,0,L71)</f>
        <v>0</v>
      </c>
      <c r="AC71" s="75" t="s">
        <v>40</v>
      </c>
      <c r="AD71" s="71"/>
      <c r="AE71" s="72"/>
      <c r="AF71" s="73">
        <v>40.5</v>
      </c>
      <c r="AG71" s="73">
        <v>200</v>
      </c>
      <c r="AH71" s="150">
        <f>AF71*AG71*AB71</f>
        <v>0</v>
      </c>
      <c r="AI71" s="151">
        <f>IF(AC71=0,0,VLOOKUP(AC71,Paramètres!$C$5:$H$42,3,FALSE))</f>
        <v>23.37</v>
      </c>
      <c r="AJ71" s="151">
        <f>IF(AC71=0,0,VLOOKUP(AC71,Paramètres!$C$5:$H$42,4,FALSE))</f>
        <v>24.88</v>
      </c>
      <c r="AK71" s="86">
        <f>IF(AC71=0,0,VLOOKUP(AC71,Paramètres!$C$5:$H$42,5,FALSE))</f>
        <v>24</v>
      </c>
      <c r="AL71" s="121">
        <f>AH71*AK71</f>
        <v>0</v>
      </c>
      <c r="AM71" s="156">
        <f>IF(AC71=0,0,VLOOKUP(AC71,Paramètres!$C$5:$H$42,2,FALSE))</f>
        <v>20</v>
      </c>
      <c r="AN71" s="105">
        <f>IF(AM71=40,POWER(0.95,AE71),IF(AM71=35,POWER(0.94,AE71),IF(AM71=30,POWER(0.93,AE71),IF(AM71=25,POWER(0.91,AE71),IF(AM71=20,POWER(0.89,AE71),IF(AM71=15,POWER(0.87,AE71),IF(AM71=10,POWER(0.8,AE71),0)))))))</f>
        <v>1</v>
      </c>
      <c r="AO71" s="88"/>
      <c r="AP71" s="28"/>
      <c r="AQ71" s="103">
        <f>IF(AE71=0,0,AL71*AN71*AO71)</f>
        <v>0</v>
      </c>
      <c r="AR71" s="88"/>
    </row>
    <row r="72" spans="1:44" ht="13.5" customHeight="1">
      <c r="A72" t="s">
        <v>27</v>
      </c>
      <c r="B72">
        <f>IF(C72=0,0,VLOOKUP(C72,Paramètres!$C$5:$I$43,7,FALSE))</f>
        <v>0</v>
      </c>
      <c r="C72" s="78" t="s">
        <v>41</v>
      </c>
      <c r="D72" s="71"/>
      <c r="E72" s="72"/>
      <c r="F72" s="72">
        <v>40.5</v>
      </c>
      <c r="G72" s="79">
        <v>200</v>
      </c>
      <c r="H72" s="101">
        <f>F72*G72*B72</f>
        <v>0</v>
      </c>
      <c r="I72" s="145">
        <f>IF(C72=0,0,VLOOKUP(C72,Paramètres!$C$5:$H$42,3,FALSE))</f>
        <v>19.87</v>
      </c>
      <c r="J72" s="145">
        <f>IF(C72=0,0,VLOOKUP(C72,Paramètres!$C$5:$H$42,4,FALSE))</f>
        <v>21.6</v>
      </c>
      <c r="K72" s="82">
        <f>IF(C72=0,0,VLOOKUP(C72,Paramètres!$C$5:$H$42,5,FALSE))</f>
        <v>20.5</v>
      </c>
      <c r="L72" s="103">
        <f>H72*K72</f>
        <v>0</v>
      </c>
      <c r="M72" s="104">
        <f>IF(C72=0,0,VLOOKUP(C72,Paramètres!$C$5:$H$42,2,FALSE))</f>
        <v>20</v>
      </c>
      <c r="N72" s="105">
        <f>IF(M72=40,POWER(0.95,E72),IF(M72=35,POWER(0.94,E72),IF(M72=30,POWER(0.93,E72),IF(M72=25,POWER(0.91,E72),IF(M72=20,POWER(0.89,E72),IF(M72=15,POWER(0.87,E72),IF(M72=10,POWER(0.8,E72),0)))))))</f>
        <v>1</v>
      </c>
      <c r="O72" s="88"/>
      <c r="P72" s="5"/>
      <c r="Q72" s="103">
        <f>IF(E72=0,0,L72*N72*O72)</f>
        <v>0</v>
      </c>
      <c r="R72" s="88"/>
      <c r="S72" s="106">
        <f>R72*Q72</f>
        <v>0</v>
      </c>
      <c r="V72" s="192">
        <f>IF(Q72=0,0,L72)</f>
        <v>0</v>
      </c>
      <c r="AC72" s="78" t="s">
        <v>41</v>
      </c>
      <c r="AD72" s="71"/>
      <c r="AE72" s="72"/>
      <c r="AF72" s="72">
        <v>40.5</v>
      </c>
      <c r="AG72" s="79">
        <v>200</v>
      </c>
      <c r="AH72" s="101">
        <f>AF72*AG72*AB72</f>
        <v>0</v>
      </c>
      <c r="AI72" s="145">
        <f>IF(AC72=0,0,VLOOKUP(AC72,Paramètres!$C$5:$H$42,3,FALSE))</f>
        <v>19.87</v>
      </c>
      <c r="AJ72" s="145">
        <f>IF(AC72=0,0,VLOOKUP(AC72,Paramètres!$C$5:$H$42,4,FALSE))</f>
        <v>21.6</v>
      </c>
      <c r="AK72" s="82">
        <f>IF(AC72=0,0,VLOOKUP(AC72,Paramètres!$C$5:$H$42,5,FALSE))</f>
        <v>20.5</v>
      </c>
      <c r="AL72" s="103">
        <f>AH72*AK72</f>
        <v>0</v>
      </c>
      <c r="AM72" s="104">
        <f>IF(AC72=0,0,VLOOKUP(AC72,Paramètres!$C$5:$H$42,2,FALSE))</f>
        <v>20</v>
      </c>
      <c r="AN72" s="105">
        <f>IF(AM72=40,POWER(0.95,AE72),IF(AM72=35,POWER(0.94,AE72),IF(AM72=30,POWER(0.93,AE72),IF(AM72=25,POWER(0.91,AE72),IF(AM72=20,POWER(0.89,AE72),IF(AM72=15,POWER(0.87,AE72),IF(AM72=10,POWER(0.8,AE72),0)))))))</f>
        <v>1</v>
      </c>
      <c r="AO72" s="88"/>
      <c r="AP72" s="5"/>
      <c r="AQ72" s="103">
        <f>IF(AE72=0,0,AL72*AN72*AO72)</f>
        <v>0</v>
      </c>
      <c r="AR72" s="88"/>
    </row>
    <row r="73" spans="1:44" ht="13.5" customHeight="1">
      <c r="A73" t="s">
        <v>27</v>
      </c>
      <c r="C73" s="78"/>
      <c r="D73" s="71"/>
      <c r="E73" s="72"/>
      <c r="F73" s="72"/>
      <c r="G73" s="79"/>
      <c r="H73" s="101">
        <f>F73*G73</f>
        <v>0</v>
      </c>
      <c r="I73" s="145">
        <f>IF(C73=0,0,VLOOKUP(C73,Paramètres!$C$5:$H$42,3,FALSE))</f>
        <v>0</v>
      </c>
      <c r="J73" s="145">
        <f>IF(C73=0,0,VLOOKUP(C73,Paramètres!$C$5:$H$42,4,FALSE))</f>
        <v>0</v>
      </c>
      <c r="K73" s="82">
        <f>IF(C73=0,0,VLOOKUP(C73,Paramètres!$C$5:$H$42,3,FALSE))</f>
        <v>0</v>
      </c>
      <c r="L73" s="103">
        <f>H73*K73</f>
        <v>0</v>
      </c>
      <c r="M73" s="104">
        <f>IF(C73=0,0,VLOOKUP(C73,Paramètres!$C$5:$H$42,2,FALSE))</f>
        <v>0</v>
      </c>
      <c r="N73" s="105">
        <f>IF(M73=40,POWER(0.95,E73),IF(M73=35,POWER(0.94,E73),IF(M73=30,POWER(0.93,E73),IF(M73=25,POWER(0.91,E73),IF(M73=20,POWER(0.89,E73),IF(M73=15,POWER(0.87,E73),IF(M73=10,POWER(0.8,E73),0)))))))</f>
        <v>0</v>
      </c>
      <c r="O73" s="88"/>
      <c r="P73" s="5"/>
      <c r="Q73" s="103">
        <f>IF(E73=0,0,L73*N73*O73)</f>
        <v>0</v>
      </c>
      <c r="R73" s="88"/>
      <c r="S73" s="106">
        <f>R73*Q73</f>
        <v>0</v>
      </c>
      <c r="V73" s="192">
        <f>IF(Q73=0,0,L73)</f>
        <v>0</v>
      </c>
      <c r="AC73" s="78"/>
      <c r="AD73" s="71"/>
      <c r="AE73" s="72"/>
      <c r="AF73" s="72"/>
      <c r="AG73" s="79"/>
      <c r="AH73" s="101">
        <f>AF73*AG73</f>
        <v>0</v>
      </c>
      <c r="AI73" s="145">
        <f>IF(AC73=0,0,VLOOKUP(AC73,Paramètres!$C$5:$H$42,3,FALSE))</f>
        <v>0</v>
      </c>
      <c r="AJ73" s="145">
        <f>IF(AC73=0,0,VLOOKUP(AC73,Paramètres!$C$5:$H$42,4,FALSE))</f>
        <v>0</v>
      </c>
      <c r="AK73" s="82">
        <f>IF(AC73=0,0,VLOOKUP(AC73,Paramètres!$C$5:$H$42,3,FALSE))</f>
        <v>0</v>
      </c>
      <c r="AL73" s="103">
        <f>AH73*AK73</f>
        <v>0</v>
      </c>
      <c r="AM73" s="104">
        <f>IF(AC73=0,0,VLOOKUP(AC73,Paramètres!$C$5:$H$42,2,FALSE))</f>
        <v>0</v>
      </c>
      <c r="AN73" s="105">
        <f>IF(AM73=40,POWER(0.95,AE73),IF(AM73=35,POWER(0.94,AE73),IF(AM73=30,POWER(0.93,AE73),IF(AM73=25,POWER(0.91,AE73),IF(AM73=20,POWER(0.89,AE73),IF(AM73=15,POWER(0.87,AE73),IF(AM73=10,POWER(0.8,AE73),0)))))))</f>
        <v>0</v>
      </c>
      <c r="AO73" s="88"/>
      <c r="AP73" s="5"/>
      <c r="AQ73" s="103">
        <f>IF(AE73=0,0,AL73*AN73*AO73)</f>
        <v>0</v>
      </c>
      <c r="AR73" s="88"/>
    </row>
    <row r="74" spans="1:44" ht="16.5" customHeight="1" thickBot="1">
      <c r="A74" t="s">
        <v>27</v>
      </c>
      <c r="C74" s="124" t="s">
        <v>9</v>
      </c>
      <c r="D74" s="125"/>
      <c r="E74" s="126"/>
      <c r="F74" s="127"/>
      <c r="G74" s="127"/>
      <c r="H74" s="128"/>
      <c r="I74" s="128"/>
      <c r="J74" s="128"/>
      <c r="K74" s="127"/>
      <c r="L74" s="116">
        <f>$V$74</f>
        <v>0</v>
      </c>
      <c r="M74" s="125"/>
      <c r="N74" s="129"/>
      <c r="O74" s="129"/>
      <c r="P74" s="116"/>
      <c r="Q74" s="116">
        <f>SUM(Q70:Q73)</f>
        <v>0</v>
      </c>
      <c r="R74" s="129"/>
      <c r="S74" s="107">
        <f>SUM(S70:S73)</f>
        <v>0</v>
      </c>
      <c r="V74" s="192">
        <f>SUM(V70:V73)</f>
        <v>0</v>
      </c>
      <c r="AC74" s="124" t="s">
        <v>9</v>
      </c>
      <c r="AD74" s="125"/>
      <c r="AE74" s="126"/>
      <c r="AF74" s="127"/>
      <c r="AG74" s="127"/>
      <c r="AH74" s="128"/>
      <c r="AI74" s="128"/>
      <c r="AJ74" s="128"/>
      <c r="AK74" s="127"/>
      <c r="AL74" s="116">
        <f>$V$74</f>
        <v>0</v>
      </c>
      <c r="AM74" s="125"/>
      <c r="AN74" s="129"/>
      <c r="AO74" s="129"/>
      <c r="AP74" s="116"/>
      <c r="AQ74" s="116">
        <f>SUM(AQ70:AQ73)</f>
        <v>0</v>
      </c>
      <c r="AR74" s="129"/>
    </row>
    <row r="75" spans="1:44" ht="18.75" customHeight="1" thickTop="1">
      <c r="A75" t="s">
        <v>28</v>
      </c>
      <c r="C75" s="131" t="s">
        <v>42</v>
      </c>
      <c r="D75" s="132"/>
      <c r="E75" s="138"/>
      <c r="F75" s="123"/>
      <c r="G75" s="123"/>
      <c r="H75" s="139"/>
      <c r="I75" s="231" t="s">
        <v>110</v>
      </c>
      <c r="J75" s="231"/>
      <c r="K75" s="123"/>
      <c r="L75" s="123"/>
      <c r="M75" s="136"/>
      <c r="N75" s="123"/>
      <c r="O75" s="123"/>
      <c r="P75" s="123"/>
      <c r="Q75" s="123"/>
      <c r="R75" s="123"/>
      <c r="S75" s="115"/>
      <c r="AC75" s="131" t="s">
        <v>42</v>
      </c>
      <c r="AD75" s="132"/>
      <c r="AE75" s="138"/>
      <c r="AF75" s="123"/>
      <c r="AG75" s="123"/>
      <c r="AH75" s="139"/>
      <c r="AI75" s="231" t="s">
        <v>110</v>
      </c>
      <c r="AJ75" s="231"/>
      <c r="AK75" s="123"/>
      <c r="AL75" s="123"/>
      <c r="AM75" s="136"/>
      <c r="AN75" s="123"/>
      <c r="AO75" s="123"/>
      <c r="AP75" s="123"/>
      <c r="AQ75" s="123"/>
      <c r="AR75" s="123"/>
    </row>
    <row r="76" spans="1:44" ht="30.75" customHeight="1">
      <c r="A76" t="s">
        <v>28</v>
      </c>
      <c r="C76" s="137"/>
      <c r="D76" s="97" t="s">
        <v>23</v>
      </c>
      <c r="E76" s="99" t="s">
        <v>18</v>
      </c>
      <c r="F76" s="84" t="s">
        <v>44</v>
      </c>
      <c r="G76" s="97"/>
      <c r="H76" s="152"/>
      <c r="I76" s="232"/>
      <c r="J76" s="232"/>
      <c r="K76" s="99" t="s">
        <v>88</v>
      </c>
      <c r="L76" s="84" t="s">
        <v>0</v>
      </c>
      <c r="M76" s="84" t="s">
        <v>19</v>
      </c>
      <c r="N76" s="84" t="s">
        <v>6</v>
      </c>
      <c r="O76" s="99" t="s">
        <v>10</v>
      </c>
      <c r="P76" s="84" t="s">
        <v>4</v>
      </c>
      <c r="Q76" s="84" t="s">
        <v>8</v>
      </c>
      <c r="R76" s="98" t="s">
        <v>1</v>
      </c>
      <c r="S76" s="100" t="s">
        <v>5</v>
      </c>
      <c r="AC76" s="137"/>
      <c r="AD76" s="97" t="s">
        <v>23</v>
      </c>
      <c r="AE76" s="99" t="s">
        <v>18</v>
      </c>
      <c r="AF76" s="84" t="s">
        <v>44</v>
      </c>
      <c r="AG76" s="97"/>
      <c r="AH76" s="152"/>
      <c r="AI76" s="232"/>
      <c r="AJ76" s="232"/>
      <c r="AK76" s="99" t="s">
        <v>88</v>
      </c>
      <c r="AL76" s="84" t="s">
        <v>0</v>
      </c>
      <c r="AM76" s="84" t="s">
        <v>19</v>
      </c>
      <c r="AN76" s="84" t="s">
        <v>6</v>
      </c>
      <c r="AO76" s="99" t="s">
        <v>10</v>
      </c>
      <c r="AP76" s="84" t="s">
        <v>4</v>
      </c>
      <c r="AQ76" s="84" t="s">
        <v>8</v>
      </c>
      <c r="AR76" s="98" t="s">
        <v>1</v>
      </c>
    </row>
    <row r="77" spans="1:44" ht="13.5" customHeight="1">
      <c r="A77" t="s">
        <v>28</v>
      </c>
      <c r="C77" s="75" t="s">
        <v>160</v>
      </c>
      <c r="D77" s="71"/>
      <c r="E77" s="72"/>
      <c r="F77" s="87">
        <v>20000</v>
      </c>
      <c r="G77" s="104"/>
      <c r="H77" s="12"/>
      <c r="I77" s="104">
        <f>IF(C77=0,0,VLOOKUP(C77,Paramètres!$C$5:$H$42,3,FALSE))</f>
        <v>63.83</v>
      </c>
      <c r="J77" s="102">
        <f>IF(C77=0,0,VLOOKUP(C77,Paramètres!$C$5:$H$42,4,FALSE))</f>
        <v>68</v>
      </c>
      <c r="K77" s="73">
        <f>IF(C77=0,0,VLOOKUP(C77,Paramètres!$C$5:$H$42,5,FALSE))</f>
        <v>65</v>
      </c>
      <c r="L77" s="103">
        <f aca="true" t="shared" si="30" ref="L77:L82">F77*K77</f>
        <v>1300000</v>
      </c>
      <c r="M77" s="156">
        <f>IF(C77=0,0,VLOOKUP(C77,Paramètres!$C$5:$H$42,2,FALSE))</f>
        <v>25</v>
      </c>
      <c r="N77" s="105">
        <f aca="true" t="shared" si="31" ref="N77:N82">IF(M77=40,POWER(0.95,E77),IF(M77=35,POWER(0.94,E77),IF(M77=30,POWER(0.93,E77),IF(M77=25,POWER(0.91,E77),IF(M77=20,POWER(0.89,E77),IF(M77=15,POWER(0.87,E77),IF(M77=10,POWER(0.8,E77),0)))))))</f>
        <v>1</v>
      </c>
      <c r="O77" s="88"/>
      <c r="P77" s="5">
        <f aca="true" t="shared" si="32" ref="P77:P82">L77*N77*O77</f>
        <v>0</v>
      </c>
      <c r="Q77" s="103">
        <f aca="true" t="shared" si="33" ref="Q77:Q82">IF(E77=0,0,L77*N77*O77)</f>
        <v>0</v>
      </c>
      <c r="R77" s="88"/>
      <c r="S77" s="106">
        <f aca="true" t="shared" si="34" ref="S77:S82">Q77*R77</f>
        <v>0</v>
      </c>
      <c r="V77" s="192">
        <f aca="true" t="shared" si="35" ref="V77:V82">IF(Q77=0,0,L77)</f>
        <v>0</v>
      </c>
      <c r="AC77" s="75" t="s">
        <v>37</v>
      </c>
      <c r="AD77" s="71"/>
      <c r="AE77" s="72"/>
      <c r="AF77" s="87">
        <v>20000</v>
      </c>
      <c r="AG77" s="104"/>
      <c r="AH77" s="12"/>
      <c r="AI77" s="104" t="e">
        <f>IF(AC77=0,0,VLOOKUP(AC77,Paramètres!$C$5:$H$42,3,FALSE))</f>
        <v>#N/A</v>
      </c>
      <c r="AJ77" s="102" t="e">
        <f>IF(AC77=0,0,VLOOKUP(AC77,Paramètres!$C$5:$H$42,4,FALSE))</f>
        <v>#N/A</v>
      </c>
      <c r="AK77" s="73" t="e">
        <f>IF(AC77=0,0,VLOOKUP(AC77,Paramètres!$C$5:$H$42,5,FALSE))</f>
        <v>#N/A</v>
      </c>
      <c r="AL77" s="103" t="e">
        <f aca="true" t="shared" si="36" ref="AL77:AL82">AF77*AK77</f>
        <v>#N/A</v>
      </c>
      <c r="AM77" s="156" t="e">
        <f>IF(AC77=0,0,VLOOKUP(AC77,Paramètres!$C$5:$H$42,2,FALSE))</f>
        <v>#N/A</v>
      </c>
      <c r="AN77" s="105" t="e">
        <f aca="true" t="shared" si="37" ref="AN77:AN82">IF(AM77=40,POWER(0.95,AE77),IF(AM77=35,POWER(0.94,AE77),IF(AM77=30,POWER(0.93,AE77),IF(AM77=25,POWER(0.91,AE77),IF(AM77=20,POWER(0.89,AE77),IF(AM77=15,POWER(0.87,AE77),IF(AM77=10,POWER(0.8,AE77),0)))))))</f>
        <v>#N/A</v>
      </c>
      <c r="AO77" s="88"/>
      <c r="AP77" s="5" t="e">
        <f aca="true" t="shared" si="38" ref="AP77:AP82">AL77*AN77*AO77</f>
        <v>#N/A</v>
      </c>
      <c r="AQ77" s="103">
        <f aca="true" t="shared" si="39" ref="AQ77:AQ82">IF(AE77=0,0,AL77*AN77*AO77)</f>
        <v>0</v>
      </c>
      <c r="AR77" s="88"/>
    </row>
    <row r="78" spans="1:44" ht="13.5" customHeight="1">
      <c r="A78" t="s">
        <v>28</v>
      </c>
      <c r="C78" s="75" t="s">
        <v>3</v>
      </c>
      <c r="D78" s="71"/>
      <c r="E78" s="72"/>
      <c r="F78" s="87">
        <v>5000</v>
      </c>
      <c r="G78" s="104"/>
      <c r="H78" s="12"/>
      <c r="I78" s="104">
        <f>IF(C78=0,0,VLOOKUP(C78,Paramètres!$C$5:$H$42,3,FALSE))</f>
        <v>52.67</v>
      </c>
      <c r="J78" s="102">
        <f>IF(C78=0,0,VLOOKUP(C78,Paramètres!$C$5:$H$42,4,FALSE))</f>
        <v>61.6</v>
      </c>
      <c r="K78" s="73">
        <f>IF(C78=0,0,VLOOKUP(C78,Paramètres!$C$5:$H$42,5,FALSE))</f>
        <v>59</v>
      </c>
      <c r="L78" s="103">
        <f t="shared" si="30"/>
        <v>295000</v>
      </c>
      <c r="M78" s="156">
        <f>IF(C78=0,0,VLOOKUP(C78,Paramètres!$C$5:$H$42,2,FALSE))</f>
        <v>25</v>
      </c>
      <c r="N78" s="105">
        <f t="shared" si="31"/>
        <v>1</v>
      </c>
      <c r="O78" s="88"/>
      <c r="P78" s="5">
        <f t="shared" si="32"/>
        <v>0</v>
      </c>
      <c r="Q78" s="103">
        <f t="shared" si="33"/>
        <v>0</v>
      </c>
      <c r="R78" s="88"/>
      <c r="S78" s="106">
        <f t="shared" si="34"/>
        <v>0</v>
      </c>
      <c r="V78" s="192">
        <f t="shared" si="35"/>
        <v>0</v>
      </c>
      <c r="AC78" s="75" t="s">
        <v>3</v>
      </c>
      <c r="AD78" s="71"/>
      <c r="AE78" s="72"/>
      <c r="AF78" s="87">
        <v>5000</v>
      </c>
      <c r="AG78" s="104"/>
      <c r="AH78" s="12"/>
      <c r="AI78" s="104">
        <f>IF(AC78=0,0,VLOOKUP(AC78,Paramètres!$C$5:$H$42,3,FALSE))</f>
        <v>52.67</v>
      </c>
      <c r="AJ78" s="102">
        <f>IF(AC78=0,0,VLOOKUP(AC78,Paramètres!$C$5:$H$42,4,FALSE))</f>
        <v>61.6</v>
      </c>
      <c r="AK78" s="73">
        <f>IF(AC78=0,0,VLOOKUP(AC78,Paramètres!$C$5:$H$42,5,FALSE))</f>
        <v>59</v>
      </c>
      <c r="AL78" s="103">
        <f t="shared" si="36"/>
        <v>295000</v>
      </c>
      <c r="AM78" s="156">
        <f>IF(AC78=0,0,VLOOKUP(AC78,Paramètres!$C$5:$H$42,2,FALSE))</f>
        <v>25</v>
      </c>
      <c r="AN78" s="105">
        <f t="shared" si="37"/>
        <v>1</v>
      </c>
      <c r="AO78" s="88"/>
      <c r="AP78" s="5">
        <f t="shared" si="38"/>
        <v>0</v>
      </c>
      <c r="AQ78" s="103">
        <f t="shared" si="39"/>
        <v>0</v>
      </c>
      <c r="AR78" s="88"/>
    </row>
    <row r="79" spans="1:44" ht="13.5" customHeight="1">
      <c r="A79" t="s">
        <v>28</v>
      </c>
      <c r="C79" s="75" t="s">
        <v>159</v>
      </c>
      <c r="D79" s="71"/>
      <c r="E79" s="72"/>
      <c r="F79" s="87">
        <v>13500</v>
      </c>
      <c r="G79" s="104"/>
      <c r="H79" s="12"/>
      <c r="I79" s="104">
        <f>IF(C79=0,0,VLOOKUP(C79,Paramètres!$C$5:$H$42,3,FALSE))</f>
        <v>38.66</v>
      </c>
      <c r="J79" s="102">
        <f>IF(C79=0,0,VLOOKUP(C79,Paramètres!$C$5:$H$42,4,FALSE))</f>
        <v>43.6</v>
      </c>
      <c r="K79" s="73">
        <f>IF(C79=0,0,VLOOKUP(C79,Paramètres!$C$5:$H$42,5,FALSE))</f>
        <v>40</v>
      </c>
      <c r="L79" s="103">
        <f t="shared" si="30"/>
        <v>540000</v>
      </c>
      <c r="M79" s="156">
        <f>IF(C79=0,0,VLOOKUP(C79,Paramètres!$C$5:$H$42,2,FALSE))</f>
        <v>25</v>
      </c>
      <c r="N79" s="105">
        <f t="shared" si="31"/>
        <v>1</v>
      </c>
      <c r="O79" s="88"/>
      <c r="P79" s="5">
        <f t="shared" si="32"/>
        <v>0</v>
      </c>
      <c r="Q79" s="103">
        <f t="shared" si="33"/>
        <v>0</v>
      </c>
      <c r="R79" s="88"/>
      <c r="S79" s="106">
        <f t="shared" si="34"/>
        <v>0</v>
      </c>
      <c r="V79" s="192">
        <f t="shared" si="35"/>
        <v>0</v>
      </c>
      <c r="AC79" s="75" t="s">
        <v>38</v>
      </c>
      <c r="AD79" s="71"/>
      <c r="AE79" s="72"/>
      <c r="AF79" s="87">
        <v>13500</v>
      </c>
      <c r="AG79" s="104"/>
      <c r="AH79" s="12"/>
      <c r="AI79" s="104" t="e">
        <f>IF(AC79=0,0,VLOOKUP(AC79,Paramètres!$C$5:$H$42,3,FALSE))</f>
        <v>#N/A</v>
      </c>
      <c r="AJ79" s="102" t="e">
        <f>IF(AC79=0,0,VLOOKUP(AC79,Paramètres!$C$5:$H$42,4,FALSE))</f>
        <v>#N/A</v>
      </c>
      <c r="AK79" s="73" t="e">
        <f>IF(AC79=0,0,VLOOKUP(AC79,Paramètres!$C$5:$H$42,5,FALSE))</f>
        <v>#N/A</v>
      </c>
      <c r="AL79" s="103" t="e">
        <f t="shared" si="36"/>
        <v>#N/A</v>
      </c>
      <c r="AM79" s="156" t="e">
        <f>IF(AC79=0,0,VLOOKUP(AC79,Paramètres!$C$5:$H$42,2,FALSE))</f>
        <v>#N/A</v>
      </c>
      <c r="AN79" s="105" t="e">
        <f t="shared" si="37"/>
        <v>#N/A</v>
      </c>
      <c r="AO79" s="88"/>
      <c r="AP79" s="5" t="e">
        <f t="shared" si="38"/>
        <v>#N/A</v>
      </c>
      <c r="AQ79" s="103">
        <f t="shared" si="39"/>
        <v>0</v>
      </c>
      <c r="AR79" s="88"/>
    </row>
    <row r="80" spans="1:44" ht="13.5" customHeight="1">
      <c r="A80" t="s">
        <v>28</v>
      </c>
      <c r="C80" s="75"/>
      <c r="D80" s="71"/>
      <c r="E80" s="72"/>
      <c r="F80" s="87">
        <v>0</v>
      </c>
      <c r="G80" s="104"/>
      <c r="H80" s="12"/>
      <c r="I80" s="104">
        <f>IF(C80=0,0,VLOOKUP(C80,Paramètres!$C$5:$H$42,3,FALSE))</f>
        <v>0</v>
      </c>
      <c r="J80" s="104">
        <f>IF(C80=0,0,VLOOKUP(C80,Paramètres!$C$5:$H$42,4,FALSE))</f>
        <v>0</v>
      </c>
      <c r="K80" s="73">
        <f>IF(C80=0,0,VLOOKUP(C80,Paramètres!$C$5:$H$42,5,FALSE))</f>
        <v>0</v>
      </c>
      <c r="L80" s="103">
        <f t="shared" si="30"/>
        <v>0</v>
      </c>
      <c r="M80" s="156">
        <f>IF(C80=0,0,VLOOKUP(C80,Paramètres!$C$5:$H$42,2,FALSE))</f>
        <v>0</v>
      </c>
      <c r="N80" s="105">
        <f t="shared" si="31"/>
        <v>0</v>
      </c>
      <c r="O80" s="88"/>
      <c r="P80" s="5">
        <f t="shared" si="32"/>
        <v>0</v>
      </c>
      <c r="Q80" s="103">
        <f t="shared" si="33"/>
        <v>0</v>
      </c>
      <c r="R80" s="88"/>
      <c r="S80" s="106">
        <f t="shared" si="34"/>
        <v>0</v>
      </c>
      <c r="V80" s="192">
        <f t="shared" si="35"/>
        <v>0</v>
      </c>
      <c r="AC80" s="75"/>
      <c r="AD80" s="71"/>
      <c r="AE80" s="72"/>
      <c r="AF80" s="87">
        <v>0</v>
      </c>
      <c r="AG80" s="104"/>
      <c r="AH80" s="12"/>
      <c r="AI80" s="104">
        <f>IF(AC80=0,0,VLOOKUP(AC80,Paramètres!$C$5:$H$42,3,FALSE))</f>
        <v>0</v>
      </c>
      <c r="AJ80" s="104">
        <f>IF(AC80=0,0,VLOOKUP(AC80,Paramètres!$C$5:$H$42,4,FALSE))</f>
        <v>0</v>
      </c>
      <c r="AK80" s="73">
        <f>IF(AC80=0,0,VLOOKUP(AC80,Paramètres!$C$5:$H$42,5,FALSE))</f>
        <v>0</v>
      </c>
      <c r="AL80" s="103">
        <f t="shared" si="36"/>
        <v>0</v>
      </c>
      <c r="AM80" s="156">
        <f>IF(AC80=0,0,VLOOKUP(AC80,Paramètres!$C$5:$H$42,2,FALSE))</f>
        <v>0</v>
      </c>
      <c r="AN80" s="105">
        <f t="shared" si="37"/>
        <v>0</v>
      </c>
      <c r="AO80" s="88"/>
      <c r="AP80" s="5">
        <f t="shared" si="38"/>
        <v>0</v>
      </c>
      <c r="AQ80" s="103">
        <f t="shared" si="39"/>
        <v>0</v>
      </c>
      <c r="AR80" s="88"/>
    </row>
    <row r="81" spans="1:44" ht="13.5" customHeight="1">
      <c r="A81" t="s">
        <v>28</v>
      </c>
      <c r="C81" s="78"/>
      <c r="D81" s="71"/>
      <c r="E81" s="72"/>
      <c r="F81" s="87">
        <v>0</v>
      </c>
      <c r="G81" s="151"/>
      <c r="H81" s="101"/>
      <c r="I81" s="145">
        <f>IF(C81=0,0,VLOOKUP(C81,Paramètres!$C$5:$H$42,3,FALSE))</f>
        <v>0</v>
      </c>
      <c r="J81" s="145">
        <f>IF(C81=0,0,VLOOKUP(C81,Paramètres!$C$5:$H$42,4,FALSE))</f>
        <v>0</v>
      </c>
      <c r="K81" s="74">
        <f>IF(C81=0,0,VLOOKUP(C81,Paramètres!$C$5:$H$42,5,FALSE))</f>
        <v>0</v>
      </c>
      <c r="L81" s="103">
        <f t="shared" si="30"/>
        <v>0</v>
      </c>
      <c r="M81" s="104">
        <f>IF(C81=0,0,VLOOKUP(C81,Paramètres!$C$5:$H$42,2,FALSE))</f>
        <v>0</v>
      </c>
      <c r="N81" s="105">
        <f t="shared" si="31"/>
        <v>0</v>
      </c>
      <c r="O81" s="88"/>
      <c r="P81" s="5">
        <f t="shared" si="32"/>
        <v>0</v>
      </c>
      <c r="Q81" s="103">
        <f t="shared" si="33"/>
        <v>0</v>
      </c>
      <c r="R81" s="88"/>
      <c r="S81" s="106">
        <f t="shared" si="34"/>
        <v>0</v>
      </c>
      <c r="V81" s="192">
        <f t="shared" si="35"/>
        <v>0</v>
      </c>
      <c r="AC81" s="78"/>
      <c r="AD81" s="71"/>
      <c r="AE81" s="72"/>
      <c r="AF81" s="87">
        <v>0</v>
      </c>
      <c r="AG81" s="151"/>
      <c r="AH81" s="101"/>
      <c r="AI81" s="145">
        <f>IF(AC81=0,0,VLOOKUP(AC81,Paramètres!$C$5:$H$42,3,FALSE))</f>
        <v>0</v>
      </c>
      <c r="AJ81" s="145">
        <f>IF(AC81=0,0,VLOOKUP(AC81,Paramètres!$C$5:$H$42,4,FALSE))</f>
        <v>0</v>
      </c>
      <c r="AK81" s="74">
        <f>IF(AC81=0,0,VLOOKUP(AC81,Paramètres!$C$5:$H$42,5,FALSE))</f>
        <v>0</v>
      </c>
      <c r="AL81" s="103">
        <f t="shared" si="36"/>
        <v>0</v>
      </c>
      <c r="AM81" s="104">
        <f>IF(AC81=0,0,VLOOKUP(AC81,Paramètres!$C$5:$H$42,2,FALSE))</f>
        <v>0</v>
      </c>
      <c r="AN81" s="105">
        <f t="shared" si="37"/>
        <v>0</v>
      </c>
      <c r="AO81" s="88"/>
      <c r="AP81" s="5">
        <f t="shared" si="38"/>
        <v>0</v>
      </c>
      <c r="AQ81" s="103">
        <f t="shared" si="39"/>
        <v>0</v>
      </c>
      <c r="AR81" s="88"/>
    </row>
    <row r="82" spans="1:44" ht="13.5" customHeight="1">
      <c r="A82" t="s">
        <v>28</v>
      </c>
      <c r="C82" s="78"/>
      <c r="D82" s="71"/>
      <c r="E82" s="72"/>
      <c r="F82" s="87">
        <v>0</v>
      </c>
      <c r="G82" s="151"/>
      <c r="H82" s="101"/>
      <c r="I82" s="145">
        <f>IF(C82=0,0,VLOOKUP(C82,Paramètres!$C$5:$H$42,3,FALSE))</f>
        <v>0</v>
      </c>
      <c r="J82" s="145">
        <f>IF(C82=0,0,VLOOKUP(C82,Paramètres!$C$5:$H$42,4,FALSE))</f>
        <v>0</v>
      </c>
      <c r="K82" s="74">
        <f>IF(C82=0,0,VLOOKUP(C82,Paramètres!$C$5:$H$42,5,FALSE))</f>
        <v>0</v>
      </c>
      <c r="L82" s="103">
        <f t="shared" si="30"/>
        <v>0</v>
      </c>
      <c r="M82" s="104">
        <f>IF(C82=0,0,VLOOKUP(C82,Paramètres!$C$5:$H$42,2,FALSE))</f>
        <v>0</v>
      </c>
      <c r="N82" s="105">
        <f t="shared" si="31"/>
        <v>0</v>
      </c>
      <c r="O82" s="88"/>
      <c r="P82" s="5">
        <f t="shared" si="32"/>
        <v>0</v>
      </c>
      <c r="Q82" s="103">
        <f t="shared" si="33"/>
        <v>0</v>
      </c>
      <c r="R82" s="88"/>
      <c r="S82" s="106">
        <f t="shared" si="34"/>
        <v>0</v>
      </c>
      <c r="V82" s="192">
        <f t="shared" si="35"/>
        <v>0</v>
      </c>
      <c r="AC82" s="78"/>
      <c r="AD82" s="71"/>
      <c r="AE82" s="72"/>
      <c r="AF82" s="87">
        <v>0</v>
      </c>
      <c r="AG82" s="151"/>
      <c r="AH82" s="101"/>
      <c r="AI82" s="145">
        <f>IF(AC82=0,0,VLOOKUP(AC82,Paramètres!$C$5:$H$42,3,FALSE))</f>
        <v>0</v>
      </c>
      <c r="AJ82" s="145">
        <f>IF(AC82=0,0,VLOOKUP(AC82,Paramètres!$C$5:$H$42,4,FALSE))</f>
        <v>0</v>
      </c>
      <c r="AK82" s="74">
        <f>IF(AC82=0,0,VLOOKUP(AC82,Paramètres!$C$5:$H$42,5,FALSE))</f>
        <v>0</v>
      </c>
      <c r="AL82" s="103">
        <f t="shared" si="36"/>
        <v>0</v>
      </c>
      <c r="AM82" s="104">
        <f>IF(AC82=0,0,VLOOKUP(AC82,Paramètres!$C$5:$H$42,2,FALSE))</f>
        <v>0</v>
      </c>
      <c r="AN82" s="105">
        <f t="shared" si="37"/>
        <v>0</v>
      </c>
      <c r="AO82" s="88"/>
      <c r="AP82" s="5">
        <f t="shared" si="38"/>
        <v>0</v>
      </c>
      <c r="AQ82" s="103">
        <f t="shared" si="39"/>
        <v>0</v>
      </c>
      <c r="AR82" s="88"/>
    </row>
    <row r="83" spans="1:44" ht="21" customHeight="1" thickBot="1">
      <c r="A83" t="s">
        <v>28</v>
      </c>
      <c r="C83" s="124" t="s">
        <v>9</v>
      </c>
      <c r="D83" s="125"/>
      <c r="E83" s="127"/>
      <c r="F83" s="127"/>
      <c r="G83" s="127"/>
      <c r="H83" s="128"/>
      <c r="I83" s="128"/>
      <c r="J83" s="128"/>
      <c r="K83" s="127"/>
      <c r="L83" s="116">
        <f>$V$83</f>
        <v>0</v>
      </c>
      <c r="M83" s="125"/>
      <c r="N83" s="129"/>
      <c r="O83" s="129"/>
      <c r="P83" s="130"/>
      <c r="Q83" s="116">
        <f>SUM(Q77:Q82)</f>
        <v>0</v>
      </c>
      <c r="R83" s="129"/>
      <c r="S83" s="107">
        <f>SUM(S77:S82)</f>
        <v>0</v>
      </c>
      <c r="V83" s="192">
        <f>SUM(V77:V82)</f>
        <v>0</v>
      </c>
      <c r="AC83" s="124" t="s">
        <v>9</v>
      </c>
      <c r="AD83" s="125"/>
      <c r="AE83" s="127"/>
      <c r="AF83" s="127"/>
      <c r="AG83" s="127"/>
      <c r="AH83" s="128"/>
      <c r="AI83" s="128"/>
      <c r="AJ83" s="128"/>
      <c r="AK83" s="127"/>
      <c r="AL83" s="116">
        <f>$V$83</f>
        <v>0</v>
      </c>
      <c r="AM83" s="125"/>
      <c r="AN83" s="129"/>
      <c r="AO83" s="129"/>
      <c r="AP83" s="130"/>
      <c r="AQ83" s="116">
        <f>SUM(AQ77:AQ82)</f>
        <v>0</v>
      </c>
      <c r="AR83" s="129"/>
    </row>
    <row r="84" spans="1:44" ht="18.75" customHeight="1" thickTop="1">
      <c r="A84" t="s">
        <v>96</v>
      </c>
      <c r="C84" s="131" t="s">
        <v>94</v>
      </c>
      <c r="D84" s="132"/>
      <c r="E84" s="138"/>
      <c r="F84" s="123"/>
      <c r="G84" s="123"/>
      <c r="H84" s="139"/>
      <c r="I84" s="231" t="s">
        <v>111</v>
      </c>
      <c r="J84" s="231"/>
      <c r="K84" s="90"/>
      <c r="L84" s="120"/>
      <c r="M84" s="90"/>
      <c r="N84" s="153"/>
      <c r="O84" s="153"/>
      <c r="P84" s="120"/>
      <c r="Q84" s="120"/>
      <c r="R84" s="153"/>
      <c r="S84" s="111"/>
      <c r="AC84" s="131" t="s">
        <v>94</v>
      </c>
      <c r="AD84" s="132"/>
      <c r="AE84" s="138"/>
      <c r="AF84" s="123"/>
      <c r="AG84" s="123"/>
      <c r="AH84" s="139"/>
      <c r="AI84" s="231" t="s">
        <v>111</v>
      </c>
      <c r="AJ84" s="231"/>
      <c r="AK84" s="90"/>
      <c r="AL84" s="120"/>
      <c r="AM84" s="90"/>
      <c r="AN84" s="153"/>
      <c r="AO84" s="153"/>
      <c r="AP84" s="120"/>
      <c r="AQ84" s="120"/>
      <c r="AR84" s="153"/>
    </row>
    <row r="85" spans="1:44" ht="30.75" customHeight="1">
      <c r="A85" t="s">
        <v>96</v>
      </c>
      <c r="C85" s="137"/>
      <c r="D85" s="97" t="s">
        <v>23</v>
      </c>
      <c r="E85" s="99" t="s">
        <v>18</v>
      </c>
      <c r="F85" s="84" t="s">
        <v>44</v>
      </c>
      <c r="G85" s="97"/>
      <c r="H85" s="152"/>
      <c r="I85" s="232"/>
      <c r="J85" s="232"/>
      <c r="K85" s="99" t="s">
        <v>88</v>
      </c>
      <c r="L85" s="84" t="s">
        <v>0</v>
      </c>
      <c r="M85" s="84" t="s">
        <v>19</v>
      </c>
      <c r="N85" s="84" t="s">
        <v>6</v>
      </c>
      <c r="O85" s="99" t="s">
        <v>10</v>
      </c>
      <c r="P85" s="84" t="s">
        <v>4</v>
      </c>
      <c r="Q85" s="84" t="s">
        <v>8</v>
      </c>
      <c r="R85" s="98" t="s">
        <v>1</v>
      </c>
      <c r="S85" s="100" t="s">
        <v>5</v>
      </c>
      <c r="AC85" s="137"/>
      <c r="AD85" s="97" t="s">
        <v>23</v>
      </c>
      <c r="AE85" s="99" t="s">
        <v>18</v>
      </c>
      <c r="AF85" s="84" t="s">
        <v>44</v>
      </c>
      <c r="AG85" s="97"/>
      <c r="AH85" s="152"/>
      <c r="AI85" s="232"/>
      <c r="AJ85" s="232"/>
      <c r="AK85" s="99" t="s">
        <v>88</v>
      </c>
      <c r="AL85" s="84" t="s">
        <v>0</v>
      </c>
      <c r="AM85" s="84" t="s">
        <v>19</v>
      </c>
      <c r="AN85" s="84" t="s">
        <v>6</v>
      </c>
      <c r="AO85" s="99" t="s">
        <v>10</v>
      </c>
      <c r="AP85" s="84" t="s">
        <v>4</v>
      </c>
      <c r="AQ85" s="84" t="s">
        <v>8</v>
      </c>
      <c r="AR85" s="98" t="s">
        <v>1</v>
      </c>
    </row>
    <row r="86" spans="1:44" ht="13.5" customHeight="1">
      <c r="A86" t="s">
        <v>96</v>
      </c>
      <c r="C86" s="75" t="s">
        <v>95</v>
      </c>
      <c r="D86" s="71"/>
      <c r="E86" s="72"/>
      <c r="F86" s="87">
        <v>1581</v>
      </c>
      <c r="G86" s="104"/>
      <c r="H86" s="13"/>
      <c r="I86" s="102">
        <f>IF(C86=0,0,VLOOKUP(C86,Paramètres!$C$5:$H$42,3,FALSE))</f>
        <v>41.02</v>
      </c>
      <c r="J86" s="102">
        <f>IF(C86=0,0,VLOOKUP(C86,Paramètres!$C$5:$H$42,4,FALSE))</f>
        <v>60.78</v>
      </c>
      <c r="K86" s="74">
        <f>IF(C86=0,0,VLOOKUP(C86,Paramètres!$C$5:$H$42,5,FALSE))</f>
        <v>41.27</v>
      </c>
      <c r="L86" s="103">
        <f>F86*K86</f>
        <v>65247.87</v>
      </c>
      <c r="M86" s="156">
        <f>IF(C86=0,0,VLOOKUP(C86,Paramètres!$C$5:$H$42,2,FALSE))</f>
        <v>40</v>
      </c>
      <c r="N86" s="105">
        <f>IF(M86=40,POWER(0.95,E86),IF(M86=35,POWER(0.94,E86),IF(M86=30,POWER(0.93,E86),IF(M86=25,POWER(0.91,E86),IF(M86=20,POWER(0.89,E86),IF(M86=15,POWER(0.87,E86),IF(M86=10,POWER(0.8,E86),0)))))))</f>
        <v>1</v>
      </c>
      <c r="O86" s="88"/>
      <c r="P86" s="5"/>
      <c r="Q86" s="103">
        <f>IF(E86=0,0,L86*N86*O86)</f>
        <v>0</v>
      </c>
      <c r="R86" s="88"/>
      <c r="S86" s="106">
        <f>Q86*R86</f>
        <v>0</v>
      </c>
      <c r="V86" s="192">
        <f>IF(Q86=0,0,L86)</f>
        <v>0</v>
      </c>
      <c r="AC86" s="75" t="s">
        <v>95</v>
      </c>
      <c r="AD86" s="71"/>
      <c r="AE86" s="72"/>
      <c r="AF86" s="87">
        <v>1581</v>
      </c>
      <c r="AG86" s="104"/>
      <c r="AH86" s="13"/>
      <c r="AI86" s="102">
        <f>IF(AC86=0,0,VLOOKUP(AC86,Paramètres!$C$5:$H$42,3,FALSE))</f>
        <v>41.02</v>
      </c>
      <c r="AJ86" s="102">
        <f>IF(AC86=0,0,VLOOKUP(AC86,Paramètres!$C$5:$H$42,4,FALSE))</f>
        <v>60.78</v>
      </c>
      <c r="AK86" s="74">
        <f>IF(AC86=0,0,VLOOKUP(AC86,Paramètres!$C$5:$H$42,5,FALSE))</f>
        <v>41.27</v>
      </c>
      <c r="AL86" s="103">
        <f>AF86*AK86</f>
        <v>65247.87</v>
      </c>
      <c r="AM86" s="156">
        <f>IF(AC86=0,0,VLOOKUP(AC86,Paramètres!$C$5:$H$42,2,FALSE))</f>
        <v>40</v>
      </c>
      <c r="AN86" s="105">
        <f>IF(AM86=40,POWER(0.95,AE86),IF(AM86=35,POWER(0.94,AE86),IF(AM86=30,POWER(0.93,AE86),IF(AM86=25,POWER(0.91,AE86),IF(AM86=20,POWER(0.89,AE86),IF(AM86=15,POWER(0.87,AE86),IF(AM86=10,POWER(0.8,AE86),0)))))))</f>
        <v>1</v>
      </c>
      <c r="AO86" s="88"/>
      <c r="AP86" s="5"/>
      <c r="AQ86" s="103">
        <f>IF(AE86=0,0,AL86*AN86*AO86)</f>
        <v>0</v>
      </c>
      <c r="AR86" s="88"/>
    </row>
    <row r="87" spans="1:44" ht="13.5" customHeight="1">
      <c r="A87" t="s">
        <v>96</v>
      </c>
      <c r="C87" s="75" t="s">
        <v>92</v>
      </c>
      <c r="D87" s="71"/>
      <c r="E87" s="72"/>
      <c r="F87" s="87">
        <v>7000</v>
      </c>
      <c r="G87" s="104"/>
      <c r="H87" s="13"/>
      <c r="I87" s="102">
        <f>IF(C87=0,0,VLOOKUP(C87,Paramètres!$C$5:$H$42,3,FALSE))</f>
        <v>30.84</v>
      </c>
      <c r="J87" s="102">
        <f>IF(C87=0,0,VLOOKUP(C87,Paramètres!$C$5:$H$42,4,FALSE))</f>
        <v>38.5</v>
      </c>
      <c r="K87" s="74">
        <f>IF(C87=0,0,VLOOKUP(C87,Paramètres!$C$5:$H$42,5,FALSE))</f>
        <v>34.65</v>
      </c>
      <c r="L87" s="103">
        <f>F87*K87</f>
        <v>242550</v>
      </c>
      <c r="M87" s="156">
        <f>IF(C87=0,0,VLOOKUP(C87,Paramètres!$C$5:$H$42,2,FALSE))</f>
        <v>30</v>
      </c>
      <c r="N87" s="105">
        <f>IF(M87=40,POWER(0.95,E87),IF(M87=35,POWER(0.94,E87),IF(M87=30,POWER(0.93,E87),IF(M87=25,POWER(0.91,E87),IF(M87=20,POWER(0.89,E87),IF(M87=15,POWER(0.87,E87),IF(M87=10,POWER(0.8,E87),0)))))))</f>
        <v>1</v>
      </c>
      <c r="O87" s="88"/>
      <c r="P87" s="5"/>
      <c r="Q87" s="103">
        <f>IF(E87=0,0,L87*N87*O87)</f>
        <v>0</v>
      </c>
      <c r="R87" s="88"/>
      <c r="S87" s="106">
        <f>Q87*R87</f>
        <v>0</v>
      </c>
      <c r="V87" s="192">
        <f>IF(Q87=0,0,L87)</f>
        <v>0</v>
      </c>
      <c r="AC87" s="75" t="s">
        <v>92</v>
      </c>
      <c r="AD87" s="71"/>
      <c r="AE87" s="72"/>
      <c r="AF87" s="87">
        <v>7000</v>
      </c>
      <c r="AG87" s="104"/>
      <c r="AH87" s="13"/>
      <c r="AI87" s="102">
        <f>IF(AC87=0,0,VLOOKUP(AC87,Paramètres!$C$5:$H$42,3,FALSE))</f>
        <v>30.84</v>
      </c>
      <c r="AJ87" s="102">
        <f>IF(AC87=0,0,VLOOKUP(AC87,Paramètres!$C$5:$H$42,4,FALSE))</f>
        <v>38.5</v>
      </c>
      <c r="AK87" s="74">
        <f>IF(AC87=0,0,VLOOKUP(AC87,Paramètres!$C$5:$H$42,5,FALSE))</f>
        <v>34.65</v>
      </c>
      <c r="AL87" s="103">
        <f>AF87*AK87</f>
        <v>242550</v>
      </c>
      <c r="AM87" s="156">
        <f>IF(AC87=0,0,VLOOKUP(AC87,Paramètres!$C$5:$H$42,2,FALSE))</f>
        <v>30</v>
      </c>
      <c r="AN87" s="105">
        <f>IF(AM87=40,POWER(0.95,AE87),IF(AM87=35,POWER(0.94,AE87),IF(AM87=30,POWER(0.93,AE87),IF(AM87=25,POWER(0.91,AE87),IF(AM87=20,POWER(0.89,AE87),IF(AM87=15,POWER(0.87,AE87),IF(AM87=10,POWER(0.8,AE87),0)))))))</f>
        <v>1</v>
      </c>
      <c r="AO87" s="88"/>
      <c r="AP87" s="5"/>
      <c r="AQ87" s="103">
        <f>IF(AE87=0,0,AL87*AN87*AO87)</f>
        <v>0</v>
      </c>
      <c r="AR87" s="88"/>
    </row>
    <row r="88" spans="1:44" ht="13.5" customHeight="1">
      <c r="A88" t="s">
        <v>96</v>
      </c>
      <c r="C88" s="78" t="s">
        <v>93</v>
      </c>
      <c r="D88" s="71"/>
      <c r="E88" s="72"/>
      <c r="F88" s="87">
        <v>16145</v>
      </c>
      <c r="G88" s="151"/>
      <c r="H88" s="101"/>
      <c r="I88" s="145">
        <f>IF(C88=0,0,VLOOKUP(C88,Paramètres!$C$5:$H$42,3,FALSE))</f>
        <v>15.5</v>
      </c>
      <c r="J88" s="145">
        <f>IF(C88=0,0,VLOOKUP(C88,Paramètres!$C$5:$H$42,4,FALSE))</f>
        <v>24.85</v>
      </c>
      <c r="K88" s="74">
        <f>IF(C88=0,0,VLOOKUP(C88,Paramètres!$C$5:$H$42,5,FALSE))</f>
        <v>19.5</v>
      </c>
      <c r="L88" s="103">
        <f>F88*K88</f>
        <v>314827.5</v>
      </c>
      <c r="M88" s="104">
        <f>IF(C88=0,0,VLOOKUP(C88,Paramètres!$C$5:$H$42,2,FALSE))</f>
        <v>30</v>
      </c>
      <c r="N88" s="105">
        <f>IF(M88=40,POWER(0.95,E88),IF(M88=35,POWER(0.94,E88),IF(M88=30,POWER(0.93,E88),IF(M88=25,POWER(0.91,E88),IF(M88=20,POWER(0.89,E88),IF(M88=15,POWER(0.87,E88),IF(M88=10,POWER(0.8,E88),0)))))))</f>
        <v>1</v>
      </c>
      <c r="O88" s="88"/>
      <c r="P88" s="5"/>
      <c r="Q88" s="103">
        <f>IF(E88=0,0,L88*N88*O88)</f>
        <v>0</v>
      </c>
      <c r="R88" s="88"/>
      <c r="S88" s="106">
        <f>Q88*R88</f>
        <v>0</v>
      </c>
      <c r="V88" s="192">
        <f>IF(Q88=0,0,L88)</f>
        <v>0</v>
      </c>
      <c r="AC88" s="78" t="s">
        <v>93</v>
      </c>
      <c r="AD88" s="71"/>
      <c r="AE88" s="72"/>
      <c r="AF88" s="87">
        <v>16145</v>
      </c>
      <c r="AG88" s="151"/>
      <c r="AH88" s="101"/>
      <c r="AI88" s="145">
        <f>IF(AC88=0,0,VLOOKUP(AC88,Paramètres!$C$5:$H$42,3,FALSE))</f>
        <v>15.5</v>
      </c>
      <c r="AJ88" s="145">
        <f>IF(AC88=0,0,VLOOKUP(AC88,Paramètres!$C$5:$H$42,4,FALSE))</f>
        <v>24.85</v>
      </c>
      <c r="AK88" s="74">
        <f>IF(AC88=0,0,VLOOKUP(AC88,Paramètres!$C$5:$H$42,5,FALSE))</f>
        <v>19.5</v>
      </c>
      <c r="AL88" s="103">
        <f>AF88*AK88</f>
        <v>314827.5</v>
      </c>
      <c r="AM88" s="104">
        <f>IF(AC88=0,0,VLOOKUP(AC88,Paramètres!$C$5:$H$42,2,FALSE))</f>
        <v>30</v>
      </c>
      <c r="AN88" s="105">
        <f>IF(AM88=40,POWER(0.95,AE88),IF(AM88=35,POWER(0.94,AE88),IF(AM88=30,POWER(0.93,AE88),IF(AM88=25,POWER(0.91,AE88),IF(AM88=20,POWER(0.89,AE88),IF(AM88=15,POWER(0.87,AE88),IF(AM88=10,POWER(0.8,AE88),0)))))))</f>
        <v>1</v>
      </c>
      <c r="AO88" s="88"/>
      <c r="AP88" s="5"/>
      <c r="AQ88" s="103">
        <f>IF(AE88=0,0,AL88*AN88*AO88)</f>
        <v>0</v>
      </c>
      <c r="AR88" s="88"/>
    </row>
    <row r="89" spans="1:44" ht="13.5" customHeight="1">
      <c r="A89" t="s">
        <v>96</v>
      </c>
      <c r="C89" s="78"/>
      <c r="D89" s="71"/>
      <c r="E89" s="72"/>
      <c r="F89" s="72"/>
      <c r="G89" s="151"/>
      <c r="H89" s="101"/>
      <c r="I89" s="145">
        <f>IF(C89=0,0,VLOOKUP(C89,Paramètres!$C$5:$H$42,3,FALSE))</f>
        <v>0</v>
      </c>
      <c r="J89" s="145">
        <f>IF(C89=0,0,VLOOKUP(C89,Paramètres!$C$5:$H$42,4,FALSE))</f>
        <v>0</v>
      </c>
      <c r="K89" s="74">
        <f>IF(C89=0,0,VLOOKUP(C89,Paramètres!$C$5:$H$42,5,FALSE))</f>
        <v>0</v>
      </c>
      <c r="L89" s="103">
        <f>F89*K89</f>
        <v>0</v>
      </c>
      <c r="M89" s="104">
        <f>IF(C89=0,0,VLOOKUP(C89,Paramètres!$C$5:$H$42,2,FALSE))</f>
        <v>0</v>
      </c>
      <c r="N89" s="105">
        <f>IF(M89=40,POWER(0.95,E89),IF(M89=35,POWER(0.94,E89),IF(M89=30,POWER(0.93,E89),IF(M89=25,POWER(0.91,E89),IF(M89=20,POWER(0.89,E89),IF(M89=15,POWER(0.87,E89),IF(M89=10,POWER(0.8,E89),0)))))))</f>
        <v>0</v>
      </c>
      <c r="O89" s="88"/>
      <c r="P89" s="5"/>
      <c r="Q89" s="103">
        <f>IF(E89=0,0,L89*N89*O89)</f>
        <v>0</v>
      </c>
      <c r="R89" s="88"/>
      <c r="S89" s="106">
        <f>Q89*R89</f>
        <v>0</v>
      </c>
      <c r="V89" s="192">
        <f>IF(Q89=0,0,L89)</f>
        <v>0</v>
      </c>
      <c r="AC89" s="78"/>
      <c r="AD89" s="71"/>
      <c r="AE89" s="72"/>
      <c r="AF89" s="72"/>
      <c r="AG89" s="151"/>
      <c r="AH89" s="101"/>
      <c r="AI89" s="145">
        <f>IF(AC89=0,0,VLOOKUP(AC89,Paramètres!$C$5:$H$42,3,FALSE))</f>
        <v>0</v>
      </c>
      <c r="AJ89" s="145">
        <f>IF(AC89=0,0,VLOOKUP(AC89,Paramètres!$C$5:$H$42,4,FALSE))</f>
        <v>0</v>
      </c>
      <c r="AK89" s="74">
        <f>IF(AC89=0,0,VLOOKUP(AC89,Paramètres!$C$5:$H$42,5,FALSE))</f>
        <v>0</v>
      </c>
      <c r="AL89" s="103">
        <f>AF89*AK89</f>
        <v>0</v>
      </c>
      <c r="AM89" s="104">
        <f>IF(AC89=0,0,VLOOKUP(AC89,Paramètres!$C$5:$H$42,2,FALSE))</f>
        <v>0</v>
      </c>
      <c r="AN89" s="105">
        <f>IF(AM89=40,POWER(0.95,AE89),IF(AM89=35,POWER(0.94,AE89),IF(AM89=30,POWER(0.93,AE89),IF(AM89=25,POWER(0.91,AE89),IF(AM89=20,POWER(0.89,AE89),IF(AM89=15,POWER(0.87,AE89),IF(AM89=10,POWER(0.8,AE89),0)))))))</f>
        <v>0</v>
      </c>
      <c r="AO89" s="88"/>
      <c r="AP89" s="5"/>
      <c r="AQ89" s="103">
        <f>IF(AE89=0,0,AL89*AN89*AO89)</f>
        <v>0</v>
      </c>
      <c r="AR89" s="88"/>
    </row>
    <row r="90" spans="1:44" s="2" customFormat="1" ht="20.25" customHeight="1" thickBot="1">
      <c r="A90" s="160" t="s">
        <v>96</v>
      </c>
      <c r="B90" s="160"/>
      <c r="C90" s="124" t="s">
        <v>9</v>
      </c>
      <c r="D90" s="125"/>
      <c r="E90" s="127"/>
      <c r="F90" s="127"/>
      <c r="G90" s="127"/>
      <c r="H90" s="128"/>
      <c r="I90" s="128"/>
      <c r="J90" s="128"/>
      <c r="K90" s="127"/>
      <c r="L90" s="116">
        <f>V90</f>
        <v>0</v>
      </c>
      <c r="M90" s="157"/>
      <c r="N90" s="158"/>
      <c r="O90" s="158"/>
      <c r="P90" s="161"/>
      <c r="Q90" s="116">
        <f>SUM(Q86:Q89)</f>
        <v>0</v>
      </c>
      <c r="R90" s="158"/>
      <c r="S90" s="107">
        <f>SUM(S86:S89)</f>
        <v>0</v>
      </c>
      <c r="V90" s="192">
        <f>SUM(V86:V89)</f>
        <v>0</v>
      </c>
      <c r="AC90" s="124" t="s">
        <v>9</v>
      </c>
      <c r="AD90" s="125"/>
      <c r="AE90" s="127"/>
      <c r="AF90" s="127"/>
      <c r="AG90" s="127"/>
      <c r="AH90" s="128"/>
      <c r="AI90" s="128"/>
      <c r="AJ90" s="128"/>
      <c r="AK90" s="127"/>
      <c r="AL90" s="116">
        <f>$V$90</f>
        <v>0</v>
      </c>
      <c r="AM90" s="157"/>
      <c r="AN90" s="158"/>
      <c r="AO90" s="158"/>
      <c r="AP90" s="161"/>
      <c r="AQ90" s="116">
        <f>SUM(AQ86:AQ89)</f>
        <v>0</v>
      </c>
      <c r="AR90" s="158"/>
    </row>
    <row r="91" spans="3:19" ht="18.75" thickTop="1">
      <c r="C91" s="162" t="s">
        <v>11</v>
      </c>
      <c r="D91" s="163"/>
      <c r="E91" s="40"/>
      <c r="F91" s="40"/>
      <c r="G91" s="40"/>
      <c r="H91" s="164"/>
      <c r="I91" s="164"/>
      <c r="J91" s="164"/>
      <c r="K91" s="40"/>
      <c r="L91" s="40"/>
      <c r="M91" s="34"/>
      <c r="N91" s="40"/>
      <c r="O91" s="40"/>
      <c r="P91" s="40"/>
      <c r="Q91" s="40"/>
      <c r="R91" s="40"/>
      <c r="S91" s="165"/>
    </row>
    <row r="92" spans="1:19" ht="30">
      <c r="A92" t="s">
        <v>70</v>
      </c>
      <c r="C92" s="166"/>
      <c r="D92" s="167"/>
      <c r="E92" s="7"/>
      <c r="F92" s="7"/>
      <c r="G92" s="7"/>
      <c r="H92" s="25"/>
      <c r="I92" s="25"/>
      <c r="J92" s="25"/>
      <c r="K92" s="7"/>
      <c r="L92" s="8" t="s">
        <v>132</v>
      </c>
      <c r="M92" s="8"/>
      <c r="N92" s="8"/>
      <c r="O92" s="8"/>
      <c r="P92" s="8" t="s">
        <v>4</v>
      </c>
      <c r="Q92" s="8" t="s">
        <v>8</v>
      </c>
      <c r="R92" s="8"/>
      <c r="S92" s="9" t="s">
        <v>5</v>
      </c>
    </row>
    <row r="93" spans="1:19" ht="20.25" customHeight="1" thickBot="1">
      <c r="A93" t="s">
        <v>70</v>
      </c>
      <c r="C93" s="168" t="s">
        <v>12</v>
      </c>
      <c r="D93" s="169"/>
      <c r="E93" s="170"/>
      <c r="F93" s="170"/>
      <c r="G93" s="170"/>
      <c r="H93" s="171"/>
      <c r="I93" s="171"/>
      <c r="J93" s="171"/>
      <c r="K93" s="170"/>
      <c r="L93" s="172">
        <f>SUM(V90,V83,V74,V67,V54,V46,V35)</f>
        <v>0</v>
      </c>
      <c r="M93" s="170"/>
      <c r="N93" s="170"/>
      <c r="O93" s="170"/>
      <c r="P93" s="170"/>
      <c r="Q93" s="172">
        <f>Q83+Q74+Q67+Q54+Q46+Q90+Q35</f>
        <v>0</v>
      </c>
      <c r="R93" s="170"/>
      <c r="S93" s="173">
        <f>S83+S74+S67+S54+S46+S90+S35</f>
        <v>0</v>
      </c>
    </row>
    <row r="94" spans="3:10" ht="13.5" thickTop="1">
      <c r="C94" t="s">
        <v>113</v>
      </c>
      <c r="H94" s="26"/>
      <c r="I94" s="26"/>
      <c r="J94" s="26"/>
    </row>
    <row r="95" spans="3:10" ht="12.75">
      <c r="C95" t="s">
        <v>87</v>
      </c>
      <c r="D95" s="52" t="s">
        <v>109</v>
      </c>
      <c r="E95" s="202"/>
      <c r="F95" s="202"/>
      <c r="G95" s="202"/>
      <c r="H95" s="203"/>
      <c r="I95" s="203"/>
      <c r="J95" s="26"/>
    </row>
    <row r="96" spans="4:11" ht="12.75" customHeight="1">
      <c r="D96" s="201" t="s">
        <v>155</v>
      </c>
      <c r="E96" s="205"/>
      <c r="F96" s="204"/>
      <c r="G96" s="204"/>
      <c r="H96" s="204"/>
      <c r="I96" s="204"/>
      <c r="J96" s="190"/>
      <c r="K96" s="190"/>
    </row>
    <row r="97" spans="3:11" ht="15.75">
      <c r="C97" s="53"/>
      <c r="D97" s="190"/>
      <c r="E97" s="190"/>
      <c r="F97" s="190"/>
      <c r="G97" s="190"/>
      <c r="H97" s="190"/>
      <c r="I97" s="190"/>
      <c r="J97" s="190"/>
      <c r="K97" s="190"/>
    </row>
    <row r="98" spans="3:10" ht="15.75">
      <c r="C98" s="48"/>
      <c r="D98" s="48"/>
      <c r="H98" s="26"/>
      <c r="I98" s="26"/>
      <c r="J98" s="26"/>
    </row>
    <row r="99" spans="8:10" ht="12.75">
      <c r="H99" s="26"/>
      <c r="I99" s="26"/>
      <c r="J99" s="26"/>
    </row>
    <row r="100" spans="8:10" ht="12.75">
      <c r="H100" s="26"/>
      <c r="I100" s="26"/>
      <c r="J100" s="26"/>
    </row>
    <row r="101" spans="8:10" ht="12.75">
      <c r="H101" s="26"/>
      <c r="I101" s="26"/>
      <c r="J101" s="26"/>
    </row>
    <row r="102" spans="8:17" ht="12.75">
      <c r="H102" s="26"/>
      <c r="I102" s="26"/>
      <c r="J102" s="26"/>
      <c r="Q102" s="61"/>
    </row>
    <row r="103" spans="8:10" ht="12.75">
      <c r="H103" s="26"/>
      <c r="I103" s="26"/>
      <c r="J103" s="26"/>
    </row>
    <row r="104" spans="8:10" ht="12.75">
      <c r="H104" s="26"/>
      <c r="I104" s="26"/>
      <c r="J104" s="26"/>
    </row>
    <row r="105" spans="8:10" ht="12.75">
      <c r="H105" s="26"/>
      <c r="I105" s="26"/>
      <c r="J105" s="26"/>
    </row>
    <row r="106" spans="8:10" ht="12.75">
      <c r="H106" s="26"/>
      <c r="I106" s="26"/>
      <c r="J106" s="26"/>
    </row>
    <row r="107" spans="8:10" ht="12.75">
      <c r="H107" s="26"/>
      <c r="I107" s="26"/>
      <c r="J107" s="26"/>
    </row>
    <row r="108" spans="8:10" ht="12.75">
      <c r="H108" s="26"/>
      <c r="I108" s="26"/>
      <c r="J108" s="26"/>
    </row>
    <row r="109" spans="8:10" ht="12.75">
      <c r="H109" s="26"/>
      <c r="I109" s="26"/>
      <c r="J109" s="26"/>
    </row>
    <row r="110" spans="8:10" ht="12.75">
      <c r="H110" s="26"/>
      <c r="I110" s="26"/>
      <c r="J110" s="26"/>
    </row>
    <row r="111" spans="8:10" ht="12.75">
      <c r="H111" s="26"/>
      <c r="I111" s="26"/>
      <c r="J111" s="26"/>
    </row>
    <row r="112" spans="8:10" ht="12.75">
      <c r="H112" s="26"/>
      <c r="I112" s="26"/>
      <c r="J112" s="26"/>
    </row>
  </sheetData>
  <sheetProtection insertRows="0" deleteRows="0"/>
  <protectedRanges>
    <protectedRange sqref="C1:N14" name="Plage8"/>
    <protectedRange sqref="AC46:AC48 AF38:AG68 AF25:AG36 AC35:AC37 C46:C48 F38:G68 F25:G36 C35:C37 AC52:AC90 AF70:AG90 AD25:AE90 C52:C93 F70:G93 D25:E93" name="Plage1"/>
    <protectedRange sqref="AH53 H53" name="Plage2"/>
    <protectedRange sqref="AK25:AK90 K23:K93" name="Plage3"/>
    <protectedRange sqref="O23 AO49:AO56 AO58:AO68 AO70:AO75 AO86:AO90 AO25:AO36 AO38:AO47 O49:O56 O58:O68 O70:O75 O86:O93 O25:O36 O38:O47 O77:O84 AO77:AO84" name="Plage4"/>
    <protectedRange sqref="O23 AO49:AO56 AO58:AO68 AO70:AO75 AO86:AO90 AO25:AO36 AO38:AO47 O49:O56 O58:O68 O70:O75 O86:O93 O25:O36 O38:O47 O77:O84 AO77:AO84" name="Plage5"/>
    <protectedRange sqref="Q91:S93" name="Plage6"/>
    <protectedRange sqref="AM25:AM90 M24:M90" name="Plage7"/>
    <protectedRange sqref="AC25:AC34 C25:C34" name="Plage1_1_1"/>
    <protectedRange sqref="AC38:AC45 C38:C45" name="Plage1_2_1"/>
    <protectedRange sqref="AC49:AC51 C49:C51" name="Plage1_3"/>
    <protectedRange sqref="O24" name="Plage4_1"/>
    <protectedRange sqref="O24" name="Plage5_1"/>
    <protectedRange sqref="AO37 O37" name="Plage4_2"/>
    <protectedRange sqref="AO37 O37" name="Plage5_2"/>
    <protectedRange sqref="AO48 O48" name="Plage4_3"/>
    <protectedRange sqref="AO48 O48" name="Plage5_3"/>
    <protectedRange sqref="AO57 O57" name="Plage4_4"/>
    <protectedRange sqref="AO57 O57" name="Plage5_4"/>
    <protectedRange sqref="AO69 O69" name="Plage4_5"/>
    <protectedRange sqref="AO69 O69" name="Plage5_5"/>
    <protectedRange sqref="AO76 O76" name="Plage4_6"/>
    <protectedRange sqref="AO76 O76" name="Plage5_6"/>
    <protectedRange sqref="AO85 O85" name="Plage4_7"/>
    <protectedRange sqref="AO85 O85" name="Plage5_7"/>
  </protectedRanges>
  <mergeCells count="18">
    <mergeCell ref="I56:J57"/>
    <mergeCell ref="I36:J37"/>
    <mergeCell ref="AI75:AJ76"/>
    <mergeCell ref="I68:J69"/>
    <mergeCell ref="I84:J85"/>
    <mergeCell ref="I75:J76"/>
    <mergeCell ref="AI84:AJ85"/>
    <mergeCell ref="C1:D1"/>
    <mergeCell ref="C55:G55"/>
    <mergeCell ref="F56:G56"/>
    <mergeCell ref="I23:J24"/>
    <mergeCell ref="I47:J48"/>
    <mergeCell ref="AI36:AJ37"/>
    <mergeCell ref="AI47:AJ48"/>
    <mergeCell ref="AC55:AG55"/>
    <mergeCell ref="AF56:AG56"/>
    <mergeCell ref="AI56:AJ57"/>
    <mergeCell ref="AI68:AJ69"/>
  </mergeCells>
  <dataValidations count="12">
    <dataValidation type="list" allowBlank="1" showInputMessage="1" showErrorMessage="1" sqref="AC86:AC89 C86:C89">
      <formula1>autre</formula1>
    </dataValidation>
    <dataValidation errorStyle="warning" type="whole" allowBlank="1" showInputMessage="1" showErrorMessage="1" error="L'âge effectif ne doit pas dépasser la vie économique du bâtiment." sqref="AE86:AE89 E86:E89 AE38:AE45 E38:E45">
      <formula1>0</formula1>
      <formula2>40</formula2>
    </dataValidation>
    <dataValidation type="list" allowBlank="1" showInputMessage="1" showErrorMessage="1" sqref="AC25:AC34 C25:C34">
      <formula1>Bovins</formula1>
    </dataValidation>
    <dataValidation type="list" allowBlank="1" showInputMessage="1" showErrorMessage="1" sqref="AC38:AC45 C38:C45">
      <formula1>Remise</formula1>
    </dataValidation>
    <dataValidation type="list" allowBlank="1" showInputMessage="1" showErrorMessage="1" sqref="C77:C82 AC77:AC82">
      <formula1>porc</formula1>
    </dataValidation>
    <dataValidation type="list" allowBlank="1" showInputMessage="1" showErrorMessage="1" sqref="AC70:AC73 C70:C73">
      <formula1>poule</formula1>
    </dataValidation>
    <dataValidation type="list" allowBlank="1" showInputMessage="1" showErrorMessage="1" sqref="AC58:AC63 AC65:AC66 C58:C63 C65:C66">
      <formula1>silos</formula1>
    </dataValidation>
    <dataValidation type="list" allowBlank="1" showInputMessage="1" showErrorMessage="1" sqref="AC53 AC49:AC51 C53 C49:C51">
      <formula1>Fumier</formula1>
    </dataValidation>
    <dataValidation errorStyle="warning" type="whole" allowBlank="1" showInputMessage="1" showErrorMessage="1" error="L'âge effectif ne doit pas dépasser la vie économique du bâtiment." sqref="E77:E82 AE77:AE82">
      <formula1>0</formula1>
      <formula2>25</formula2>
    </dataValidation>
    <dataValidation errorStyle="warning" type="whole" allowBlank="1" showInputMessage="1" showErrorMessage="1" error="L'âge effectif ne doit pas dépasser la vie économique du bâtiment." sqref="AE58:AE63 AE65:AE66 E58:E63 E65:E66">
      <formula1>0</formula1>
      <formula2>30</formula2>
    </dataValidation>
    <dataValidation errorStyle="warning" type="whole" allowBlank="1" showInputMessage="1" showErrorMessage="1" error="L'âge effectif ne doit pas dépasser la vie économique du bâtiment." sqref="AE53 AE70:AE73 AE49:AE51 E53 E70:E73 E49:E51">
      <formula1>0</formula1>
      <formula2>20</formula2>
    </dataValidation>
    <dataValidation errorStyle="warning" type="whole" allowBlank="1" showInputMessage="1" showErrorMessage="1" error="L'âge effectif ne doit pas dépasser la vie économique du bâtiment." sqref="AE25:AE34 E25:E34">
      <formula1>0</formula1>
      <formula2>35</formula2>
    </dataValidation>
  </dataValidations>
  <hyperlinks>
    <hyperlink ref="E24" location="'Guide de l''utilisateur'!A30:C32" display="Âge effectif"/>
    <hyperlink ref="R24" location="'Guide de l''utilisateur'!A63:C86" display="Contribution"/>
    <hyperlink ref="K24" location="'Guide de l''utilisateur'!A34:C39" display="Prix retenu                    $/pi ²"/>
    <hyperlink ref="O24" location="'Guide de l''utilisateur'!A45:C62" display="Facteur fonctionnel"/>
    <hyperlink ref="AE57" location="'Guide de l''utilisateur'!A30:C33" display="Âge effectif"/>
    <hyperlink ref="AK37" location="'Guide de l''utilisateur'!A34:C39" display="Prix retenu                    $/pi ²"/>
    <hyperlink ref="AK48" location="'Guide de l''utilisateur'!A34:C39" display="Prix retenu                    $/pi ²"/>
    <hyperlink ref="AK69" location="'Guide de l''utilisateur'!A34:C39" display="Prix retenu                    $/pi ²"/>
    <hyperlink ref="AK76" location="'Guide de l''utilisateur'!A34:C39" display="Prix retenu                    $/pi ²"/>
    <hyperlink ref="AK85" location="'Guide de l''utilisateur'!A34:C39" display="Prix retenu                    $/pi ²"/>
    <hyperlink ref="AK57" location="'Guide de l''utilisateur'!A34:C39" display="Prix retenu                    $/pi ²"/>
    <hyperlink ref="AO37" location="'Guide de l''utilisateur'!A45:C62" display="Facteur fonctionnel"/>
    <hyperlink ref="AO48" location="'Guide de l''utilisateur'!A45:C62" display="Facteur fonctionnel"/>
    <hyperlink ref="AO57" location="'Guide de l''utilisateur'!A45:C62" display="Facteur fonctionnel"/>
    <hyperlink ref="AO69" location="'Guide de l''utilisateur'!A45:C62" display="Facteur fonctionnel"/>
    <hyperlink ref="AO76" location="'Guide de l''utilisateur'!A45:C62" display="Facteur fonctionnel"/>
    <hyperlink ref="AO85" location="'Guide de l''utilisateur'!A45:C62" display="Facteur fonctionnel"/>
    <hyperlink ref="AE64" location="'Guide de l''utilisateur'!A30:C33" display="Âge effectif"/>
    <hyperlink ref="AE69" location="'Guide de l''utilisateur'!A30:C33" display="Âge effectif"/>
    <hyperlink ref="AE76" location="'Guide de l''utilisateur'!A30:C33" display="Âge effectif"/>
    <hyperlink ref="AE85" location="'Guide de l''utilisateur'!A30:C33" display="Âge effectif"/>
    <hyperlink ref="AE37" location="'Guide de l''utilisateur'!A30:C33" display="Âge effectif"/>
    <hyperlink ref="AE48" location="'Guide de l''utilisateur'!A30:C33" display="Âge effectif"/>
    <hyperlink ref="AE52" location="'Guide de l''utilisateur'!A30:C33" display="Âge effectif"/>
    <hyperlink ref="AR76" location="'Guide de l''utilisateur'!A63:C86" display="Contribution"/>
    <hyperlink ref="AR85" location="'Guide de l''utilisateur'!A63:C86" display="Contribution"/>
    <hyperlink ref="AR69" location="'Guide de l''utilisateur'!A63:C86" display="Contribution"/>
    <hyperlink ref="AR57" location="'Guide de l''utilisateur'!A63:C86" display="Contribution"/>
    <hyperlink ref="AR48" location="'Guide de l''utilisateur'!A63:C86" display="Contribution"/>
    <hyperlink ref="AR37" location="'Guide de l''utilisateur'!A63:C86" display="Contribution"/>
    <hyperlink ref="E57" location="'Guide de l''utilisateur'!A30:C33" display="Âge effectif"/>
    <hyperlink ref="K37" location="'Guide de l''utilisateur'!A34:C39" display="Prix retenu                    $/pi ²"/>
    <hyperlink ref="K48" location="'Guide de l''utilisateur'!A34:C39" display="Prix retenu                    $/pi ²"/>
    <hyperlink ref="K69" location="'Guide de l''utilisateur'!A34:C39" display="Prix retenu                    $/pi ²"/>
    <hyperlink ref="K76" location="'Guide de l''utilisateur'!A34:C39" display="Prix retenu                    $/pi ²"/>
    <hyperlink ref="K85" location="'Guide de l''utilisateur'!A34:C39" display="Prix retenu                    $/pi ²"/>
    <hyperlink ref="K57" location="'Guide de l''utilisateur'!A34:C39" display="Prix retenu                    $/pi ²"/>
    <hyperlink ref="O37" location="'Guide de l''utilisateur'!A45:C62" display="Facteur fonctionnel"/>
    <hyperlink ref="O48" location="'Guide de l''utilisateur'!A45:C62" display="Facteur fonctionnel"/>
    <hyperlink ref="O57" location="'Guide de l''utilisateur'!A45:C62" display="Facteur fonctionnel"/>
    <hyperlink ref="O69" location="'Guide de l''utilisateur'!A45:C62" display="Facteur fonctionnel"/>
    <hyperlink ref="O76" location="'Guide de l''utilisateur'!A45:C62" display="Facteur fonctionnel"/>
    <hyperlink ref="O85" location="'Guide de l''utilisateur'!A45:C62" display="Facteur fonctionnel"/>
    <hyperlink ref="E64" location="'Guide de l''utilisateur'!A30:C33" display="Âge effectif"/>
    <hyperlink ref="E69" location="'Guide de l''utilisateur'!A30:C33" display="Âge effectif"/>
    <hyperlink ref="E76" location="'Guide de l''utilisateur'!A30:C33" display="Âge effectif"/>
    <hyperlink ref="E85" location="'Guide de l''utilisateur'!A30:C33" display="Âge effectif"/>
    <hyperlink ref="E37" location="'Guide de l''utilisateur'!A30:C33" display="Âge effectif"/>
    <hyperlink ref="E48" location="'Guide de l''utilisateur'!A30:C33" display="Âge effectif"/>
    <hyperlink ref="E52" location="'Guide de l''utilisateur'!A30:C33" display="Âge effectif"/>
    <hyperlink ref="R76" location="'Guide de l''utilisateur'!A63:C86" display="Contribution"/>
    <hyperlink ref="R85" location="'Guide de l''utilisateur'!A63:C86" display="Contribution"/>
    <hyperlink ref="R69" location="'Guide de l''utilisateur'!A63:C86" display="Contribution"/>
    <hyperlink ref="R57" location="'Guide de l''utilisateur'!A63:C86" display="Contribution"/>
    <hyperlink ref="R48" location="'Guide de l''utilisateur'!A63:C86" display="Contribution"/>
    <hyperlink ref="R37" location="'Guide de l''utilisateur'!A63:C86" display="Contribution"/>
  </hyperlinks>
  <printOptions/>
  <pageMargins left="0.5905511811023623" right="0.6299212598425197" top="0.4724409448818898" bottom="0.5118110236220472" header="0.5118110236220472" footer="0.5118110236220472"/>
  <pageSetup blackAndWhite="1" fitToHeight="2" horizontalDpi="300" verticalDpi="300" orientation="landscape" scale="52" r:id="rId4"/>
  <rowBreaks count="1" manualBreakCount="1">
    <brk id="67" min="2" max="18" man="1"/>
  </rowBreaks>
  <drawing r:id="rId3"/>
  <legacyDrawing r:id="rId2"/>
</worksheet>
</file>

<file path=xl/worksheets/sheet4.xml><?xml version="1.0" encoding="utf-8"?>
<worksheet xmlns="http://schemas.openxmlformats.org/spreadsheetml/2006/main" xmlns:r="http://schemas.openxmlformats.org/officeDocument/2006/relationships">
  <sheetPr codeName="Feuil2"/>
  <dimension ref="A1:L54"/>
  <sheetViews>
    <sheetView zoomScalePageLayoutView="0" workbookViewId="0" topLeftCell="A1">
      <selection activeCell="L18" sqref="L18"/>
    </sheetView>
  </sheetViews>
  <sheetFormatPr defaultColWidth="11.421875" defaultRowHeight="12.75"/>
  <cols>
    <col min="1" max="1" width="2.421875" style="0" customWidth="1"/>
    <col min="2" max="2" width="2.57421875" style="13" customWidth="1"/>
    <col min="3" max="3" width="34.421875" style="0" customWidth="1"/>
    <col min="7" max="7" width="12.421875" style="0" bestFit="1" customWidth="1"/>
    <col min="9" max="12" width="11.421875" style="215" customWidth="1"/>
    <col min="13" max="14" width="11.421875" style="209" customWidth="1"/>
  </cols>
  <sheetData>
    <row r="1" spans="3:8" ht="18">
      <c r="C1" s="218" t="s">
        <v>29</v>
      </c>
      <c r="D1" s="218"/>
      <c r="E1" s="218"/>
      <c r="F1" s="218"/>
      <c r="G1" s="218"/>
      <c r="H1" s="218"/>
    </row>
    <row r="2" ht="12.75"/>
    <row r="3" ht="13.5" thickBot="1"/>
    <row r="4" spans="3:11" ht="16.5" thickTop="1">
      <c r="C4" s="14" t="s">
        <v>22</v>
      </c>
      <c r="D4" s="15" t="s">
        <v>13</v>
      </c>
      <c r="E4" s="15" t="s">
        <v>30</v>
      </c>
      <c r="F4" s="15" t="s">
        <v>31</v>
      </c>
      <c r="G4" s="219" t="s">
        <v>14</v>
      </c>
      <c r="H4" s="241"/>
      <c r="K4" s="215" t="s">
        <v>129</v>
      </c>
    </row>
    <row r="5" spans="2:11" ht="12.75">
      <c r="B5" s="213"/>
      <c r="C5" s="16" t="s">
        <v>2</v>
      </c>
      <c r="D5" s="6">
        <v>35</v>
      </c>
      <c r="E5" s="38">
        <f>G5-1.37</f>
        <v>32.230000000000004</v>
      </c>
      <c r="F5" s="38">
        <f>G5+6.69</f>
        <v>40.29</v>
      </c>
      <c r="G5" s="17">
        <v>33.6</v>
      </c>
      <c r="H5" s="18" t="s">
        <v>15</v>
      </c>
      <c r="I5" s="216"/>
      <c r="J5" s="216"/>
      <c r="K5" s="215">
        <v>25</v>
      </c>
    </row>
    <row r="6" spans="2:11" ht="12.75">
      <c r="B6" s="213"/>
      <c r="C6" s="16" t="s">
        <v>35</v>
      </c>
      <c r="D6" s="6">
        <v>35</v>
      </c>
      <c r="E6" s="38">
        <f>G6-1.37</f>
        <v>26.98</v>
      </c>
      <c r="F6" s="38">
        <f>4.83+G6</f>
        <v>33.18</v>
      </c>
      <c r="G6" s="17">
        <v>28.35</v>
      </c>
      <c r="H6" s="18" t="s">
        <v>15</v>
      </c>
      <c r="I6" s="216"/>
      <c r="J6" s="216"/>
      <c r="K6" s="215">
        <v>25</v>
      </c>
    </row>
    <row r="7" spans="2:11" ht="12.75">
      <c r="B7" s="213"/>
      <c r="C7" s="16" t="s">
        <v>34</v>
      </c>
      <c r="D7" s="6">
        <v>30</v>
      </c>
      <c r="E7" s="38">
        <f>28.35-1.37</f>
        <v>26.98</v>
      </c>
      <c r="F7" s="38">
        <f>36.75+4.83</f>
        <v>41.58</v>
      </c>
      <c r="G7" s="17">
        <f>(36.75+28.35)/2</f>
        <v>32.55</v>
      </c>
      <c r="H7" s="18" t="s">
        <v>15</v>
      </c>
      <c r="I7" s="216"/>
      <c r="J7" s="216"/>
      <c r="K7" s="215">
        <v>25</v>
      </c>
    </row>
    <row r="8" spans="2:11" ht="12.75">
      <c r="B8" s="213"/>
      <c r="C8" s="16" t="s">
        <v>33</v>
      </c>
      <c r="D8" s="6">
        <v>30</v>
      </c>
      <c r="E8" s="38">
        <f>G8-1.37</f>
        <v>51.13</v>
      </c>
      <c r="F8" s="38">
        <f>52.5+4.1</f>
        <v>56.6</v>
      </c>
      <c r="G8" s="17">
        <v>52.5</v>
      </c>
      <c r="H8" s="18" t="s">
        <v>15</v>
      </c>
      <c r="I8" s="216"/>
      <c r="J8" s="216"/>
      <c r="K8" s="215">
        <v>25</v>
      </c>
    </row>
    <row r="9" spans="2:11" ht="12.75">
      <c r="B9" s="213"/>
      <c r="C9" s="16" t="s">
        <v>32</v>
      </c>
      <c r="D9" s="6">
        <v>30</v>
      </c>
      <c r="E9" s="38">
        <f>G9-1.37</f>
        <v>45.88</v>
      </c>
      <c r="F9" s="38">
        <f>G9+0.95</f>
        <v>48.2</v>
      </c>
      <c r="G9" s="17">
        <v>47.25</v>
      </c>
      <c r="H9" s="18" t="s">
        <v>15</v>
      </c>
      <c r="I9" s="216"/>
      <c r="J9" s="216"/>
      <c r="K9" s="215">
        <v>25</v>
      </c>
    </row>
    <row r="10" spans="2:11" ht="12.75">
      <c r="B10" s="213"/>
      <c r="C10" s="16" t="s">
        <v>36</v>
      </c>
      <c r="D10" s="6">
        <v>25</v>
      </c>
      <c r="E10" s="38">
        <f>53.5-1.2</f>
        <v>52.3</v>
      </c>
      <c r="F10" s="38">
        <f>G10+3.4</f>
        <v>60.4</v>
      </c>
      <c r="G10" s="17">
        <v>57</v>
      </c>
      <c r="H10" s="18" t="s">
        <v>15</v>
      </c>
      <c r="I10" s="216"/>
      <c r="J10" s="216"/>
      <c r="K10" s="215">
        <v>25</v>
      </c>
    </row>
    <row r="11" spans="2:11" ht="12.75">
      <c r="B11" s="213"/>
      <c r="C11" s="210" t="s">
        <v>158</v>
      </c>
      <c r="D11" s="6">
        <v>25</v>
      </c>
      <c r="E11" s="38">
        <f>(G11*0.88)-1.2</f>
        <v>41.04</v>
      </c>
      <c r="F11" s="38">
        <f>G11+3.4</f>
        <v>51.4</v>
      </c>
      <c r="G11" s="17">
        <v>48</v>
      </c>
      <c r="H11" s="18" t="s">
        <v>15</v>
      </c>
      <c r="I11" s="216"/>
      <c r="J11" s="216"/>
      <c r="K11" s="215">
        <v>25</v>
      </c>
    </row>
    <row r="12" spans="2:11" ht="12.75">
      <c r="B12" s="213"/>
      <c r="C12" s="16" t="s">
        <v>98</v>
      </c>
      <c r="D12" s="6">
        <v>25</v>
      </c>
      <c r="E12" s="38">
        <v>32.24</v>
      </c>
      <c r="F12" s="38">
        <f>39.52+1.2</f>
        <v>40.720000000000006</v>
      </c>
      <c r="G12" s="17">
        <v>35.36</v>
      </c>
      <c r="H12" s="18" t="s">
        <v>15</v>
      </c>
      <c r="I12" s="216"/>
      <c r="J12" s="216"/>
      <c r="K12" s="215">
        <v>25</v>
      </c>
    </row>
    <row r="13" spans="2:11" ht="12.75">
      <c r="B13" s="213"/>
      <c r="C13" s="16" t="s">
        <v>99</v>
      </c>
      <c r="D13" s="6">
        <v>25</v>
      </c>
      <c r="E13" s="38">
        <v>21.84</v>
      </c>
      <c r="F13" s="38">
        <f>G13+1.2</f>
        <v>24.08</v>
      </c>
      <c r="G13" s="17">
        <v>22.88</v>
      </c>
      <c r="H13" s="18" t="s">
        <v>15</v>
      </c>
      <c r="I13" s="216"/>
      <c r="J13" s="216"/>
      <c r="K13" s="215">
        <v>25</v>
      </c>
    </row>
    <row r="14" spans="3:10" ht="12.75">
      <c r="C14" s="16"/>
      <c r="D14" s="6"/>
      <c r="E14" s="6"/>
      <c r="F14" s="6"/>
      <c r="G14" s="17"/>
      <c r="H14" s="18"/>
      <c r="I14" s="216"/>
      <c r="J14" s="216"/>
    </row>
    <row r="15" spans="2:11" ht="12.75">
      <c r="B15" s="213"/>
      <c r="C15" s="16" t="s">
        <v>100</v>
      </c>
      <c r="D15" s="6">
        <v>40</v>
      </c>
      <c r="E15" s="38">
        <f>G15-0.7</f>
        <v>11.65</v>
      </c>
      <c r="F15" s="38">
        <f>5.15+G15</f>
        <v>17.5</v>
      </c>
      <c r="G15" s="17">
        <v>12.35</v>
      </c>
      <c r="H15" s="18" t="s">
        <v>15</v>
      </c>
      <c r="I15" s="216"/>
      <c r="J15" s="216"/>
      <c r="K15" s="215">
        <v>30</v>
      </c>
    </row>
    <row r="16" spans="2:11" ht="12.75">
      <c r="B16" s="213"/>
      <c r="C16" s="16" t="s">
        <v>101</v>
      </c>
      <c r="D16" s="6">
        <v>35</v>
      </c>
      <c r="E16" s="38">
        <f>G16-0.7</f>
        <v>9.15</v>
      </c>
      <c r="F16" s="38">
        <f>G16+5.15</f>
        <v>15</v>
      </c>
      <c r="G16" s="212">
        <v>9.85</v>
      </c>
      <c r="H16" s="18" t="s">
        <v>15</v>
      </c>
      <c r="I16" s="216"/>
      <c r="J16" s="216"/>
      <c r="K16" s="215">
        <v>30</v>
      </c>
    </row>
    <row r="17" spans="2:11" ht="12.75">
      <c r="B17" s="213"/>
      <c r="C17" s="16" t="s">
        <v>69</v>
      </c>
      <c r="D17" s="6">
        <v>35</v>
      </c>
      <c r="E17" s="38">
        <f>G17-0.3</f>
        <v>30.349999999999998</v>
      </c>
      <c r="F17" s="38">
        <f>5.15+33.42</f>
        <v>38.57</v>
      </c>
      <c r="G17" s="17">
        <v>30.65</v>
      </c>
      <c r="H17" s="18" t="s">
        <v>15</v>
      </c>
      <c r="I17" s="216"/>
      <c r="J17" s="216"/>
      <c r="K17" s="215">
        <v>30</v>
      </c>
    </row>
    <row r="18" spans="3:8" ht="12.75">
      <c r="C18" s="16"/>
      <c r="D18" s="6"/>
      <c r="E18" s="38"/>
      <c r="F18" s="38"/>
      <c r="G18" s="17"/>
      <c r="H18" s="18"/>
    </row>
    <row r="19" spans="1:11" ht="12.75">
      <c r="A19" s="13"/>
      <c r="B19" s="213"/>
      <c r="C19" s="16" t="s">
        <v>160</v>
      </c>
      <c r="D19" s="6">
        <v>25</v>
      </c>
      <c r="E19" s="38">
        <f>G19-1.17</f>
        <v>63.83</v>
      </c>
      <c r="F19" s="38">
        <f>G19+3</f>
        <v>68</v>
      </c>
      <c r="G19" s="17">
        <v>65</v>
      </c>
      <c r="H19" s="18" t="s">
        <v>15</v>
      </c>
      <c r="I19" s="216"/>
      <c r="J19" s="216"/>
      <c r="K19" s="215">
        <v>25</v>
      </c>
    </row>
    <row r="20" spans="2:11" ht="12.75">
      <c r="B20" s="213"/>
      <c r="C20" s="16" t="s">
        <v>3</v>
      </c>
      <c r="D20" s="6">
        <v>25</v>
      </c>
      <c r="E20" s="38">
        <f>57-4.33</f>
        <v>52.67</v>
      </c>
      <c r="F20" s="38">
        <f>61+0.6</f>
        <v>61.6</v>
      </c>
      <c r="G20" s="17">
        <v>59</v>
      </c>
      <c r="H20" s="18" t="s">
        <v>15</v>
      </c>
      <c r="I20" s="216"/>
      <c r="J20" s="216"/>
      <c r="K20" s="215">
        <v>25</v>
      </c>
    </row>
    <row r="21" spans="2:11" ht="12.75">
      <c r="B21" s="213"/>
      <c r="C21" s="210" t="s">
        <v>159</v>
      </c>
      <c r="D21" s="6">
        <v>25</v>
      </c>
      <c r="E21" s="38">
        <f>G21-1.34</f>
        <v>38.66</v>
      </c>
      <c r="F21" s="38">
        <f>G21+3.6</f>
        <v>43.6</v>
      </c>
      <c r="G21" s="17">
        <v>40</v>
      </c>
      <c r="H21" s="18" t="s">
        <v>15</v>
      </c>
      <c r="I21" s="216"/>
      <c r="J21" s="216"/>
      <c r="K21" s="215">
        <v>25</v>
      </c>
    </row>
    <row r="22" spans="1:8" ht="12.75">
      <c r="A22" s="215"/>
      <c r="C22" s="16"/>
      <c r="D22" s="6"/>
      <c r="E22" s="6"/>
      <c r="F22" s="6"/>
      <c r="G22" s="17"/>
      <c r="H22" s="18"/>
    </row>
    <row r="23" spans="1:12" ht="12.75">
      <c r="A23" s="215">
        <v>1</v>
      </c>
      <c r="B23" s="213"/>
      <c r="C23" s="16" t="s">
        <v>39</v>
      </c>
      <c r="D23" s="6">
        <v>20</v>
      </c>
      <c r="E23" s="38">
        <f>G23-0.63</f>
        <v>31.37</v>
      </c>
      <c r="F23" s="38">
        <f>G23+0.66</f>
        <v>32.66</v>
      </c>
      <c r="G23" s="17">
        <v>32</v>
      </c>
      <c r="H23" s="18" t="s">
        <v>15</v>
      </c>
      <c r="K23" s="215">
        <v>25</v>
      </c>
      <c r="L23" s="215">
        <v>1</v>
      </c>
    </row>
    <row r="24" spans="1:12" ht="12.75">
      <c r="A24" s="215">
        <v>2</v>
      </c>
      <c r="B24" s="213"/>
      <c r="C24" s="16" t="s">
        <v>40</v>
      </c>
      <c r="D24" s="6">
        <v>20</v>
      </c>
      <c r="E24" s="38">
        <f>G24-0.63</f>
        <v>23.37</v>
      </c>
      <c r="F24" s="38">
        <f>G24+0.88</f>
        <v>24.88</v>
      </c>
      <c r="G24" s="17">
        <v>24</v>
      </c>
      <c r="H24" s="18" t="s">
        <v>15</v>
      </c>
      <c r="K24" s="215">
        <v>25</v>
      </c>
      <c r="L24" s="215">
        <v>2</v>
      </c>
    </row>
    <row r="25" spans="1:12" ht="12.75">
      <c r="A25" s="215">
        <v>3</v>
      </c>
      <c r="B25" s="213"/>
      <c r="C25" s="16" t="s">
        <v>41</v>
      </c>
      <c r="D25" s="6">
        <v>20</v>
      </c>
      <c r="E25" s="38">
        <f>G25-0.63</f>
        <v>19.87</v>
      </c>
      <c r="F25" s="38">
        <f>G25+1.1</f>
        <v>21.6</v>
      </c>
      <c r="G25" s="17">
        <v>20.5</v>
      </c>
      <c r="H25" s="18" t="s">
        <v>15</v>
      </c>
      <c r="K25" s="215">
        <v>25</v>
      </c>
      <c r="L25" s="215">
        <v>3</v>
      </c>
    </row>
    <row r="26" spans="1:8" ht="12.75">
      <c r="A26" s="215"/>
      <c r="C26" s="16"/>
      <c r="D26" s="6"/>
      <c r="E26" s="6"/>
      <c r="F26" s="6"/>
      <c r="G26" s="17"/>
      <c r="H26" s="18"/>
    </row>
    <row r="27" spans="1:11" ht="12.75">
      <c r="A27" s="215"/>
      <c r="B27" s="213"/>
      <c r="C27" s="16" t="s">
        <v>47</v>
      </c>
      <c r="D27" s="6">
        <v>20</v>
      </c>
      <c r="E27" s="6">
        <v>0.84</v>
      </c>
      <c r="F27" s="6">
        <v>3.1</v>
      </c>
      <c r="G27" s="46">
        <f>AVERAGE(E27:F27)</f>
        <v>1.97</v>
      </c>
      <c r="H27" s="18" t="s">
        <v>17</v>
      </c>
      <c r="I27" s="215" t="s">
        <v>55</v>
      </c>
      <c r="K27" s="215">
        <v>20</v>
      </c>
    </row>
    <row r="28" spans="2:11" ht="12.75">
      <c r="B28" s="213"/>
      <c r="C28" s="16" t="s">
        <v>133</v>
      </c>
      <c r="D28" s="6">
        <v>20</v>
      </c>
      <c r="E28" s="47">
        <v>4.7</v>
      </c>
      <c r="F28" s="47">
        <v>5.75</v>
      </c>
      <c r="G28" s="17">
        <v>5.25</v>
      </c>
      <c r="H28" s="18" t="s">
        <v>15</v>
      </c>
      <c r="K28" s="215">
        <v>20</v>
      </c>
    </row>
    <row r="29" spans="2:11" ht="12.75">
      <c r="B29" s="213"/>
      <c r="C29" s="16" t="s">
        <v>49</v>
      </c>
      <c r="D29" s="6">
        <v>20</v>
      </c>
      <c r="E29" s="6">
        <v>8.6</v>
      </c>
      <c r="F29" s="6">
        <v>12.05</v>
      </c>
      <c r="G29" s="17">
        <f>AVERAGE(E29:F29)</f>
        <v>10.325</v>
      </c>
      <c r="H29" s="18" t="s">
        <v>15</v>
      </c>
      <c r="K29" s="215">
        <v>20</v>
      </c>
    </row>
    <row r="30" spans="2:11" ht="12.75">
      <c r="B30" s="213"/>
      <c r="C30" s="16" t="s">
        <v>50</v>
      </c>
      <c r="D30" s="6">
        <v>20</v>
      </c>
      <c r="E30" s="6">
        <v>9.42</v>
      </c>
      <c r="F30" s="6">
        <v>13.65</v>
      </c>
      <c r="G30" s="17">
        <f>AVERAGE(E30:F30)</f>
        <v>11.535</v>
      </c>
      <c r="H30" s="18" t="s">
        <v>15</v>
      </c>
      <c r="K30" s="215">
        <v>20</v>
      </c>
    </row>
    <row r="31" spans="3:8" ht="12.75">
      <c r="C31" s="16"/>
      <c r="D31" s="6"/>
      <c r="E31" s="6"/>
      <c r="F31" s="6"/>
      <c r="G31" s="17"/>
      <c r="H31" s="18"/>
    </row>
    <row r="32" spans="2:11" ht="12.75">
      <c r="B32" s="213"/>
      <c r="C32" s="16" t="s">
        <v>16</v>
      </c>
      <c r="D32" s="6">
        <v>30</v>
      </c>
      <c r="E32" s="43">
        <f>45360+16275</f>
        <v>61635</v>
      </c>
      <c r="F32" s="43">
        <f>73000+16275</f>
        <v>89275</v>
      </c>
      <c r="G32" s="17">
        <f>61040+16275</f>
        <v>77315</v>
      </c>
      <c r="H32" s="19"/>
      <c r="I32" s="215" t="s">
        <v>67</v>
      </c>
      <c r="K32" s="215">
        <v>30</v>
      </c>
    </row>
    <row r="33" spans="2:11" ht="12.75">
      <c r="B33" s="213"/>
      <c r="C33" s="16" t="s">
        <v>66</v>
      </c>
      <c r="D33" s="6">
        <v>30</v>
      </c>
      <c r="E33" s="43">
        <v>64539</v>
      </c>
      <c r="F33" s="43">
        <f>13200+64539</f>
        <v>77739</v>
      </c>
      <c r="G33" s="17">
        <v>64539</v>
      </c>
      <c r="H33" s="19"/>
      <c r="I33" s="215" t="s">
        <v>67</v>
      </c>
      <c r="K33" s="215">
        <v>30</v>
      </c>
    </row>
    <row r="34" spans="2:11" ht="12.75">
      <c r="B34" s="213"/>
      <c r="C34" s="16" t="s">
        <v>56</v>
      </c>
      <c r="D34" s="6">
        <v>30</v>
      </c>
      <c r="E34" s="45">
        <v>0.75</v>
      </c>
      <c r="F34" s="45">
        <v>0.85</v>
      </c>
      <c r="G34" s="46">
        <f>AVERAGE(E34:F34)</f>
        <v>0.8</v>
      </c>
      <c r="H34" s="18" t="s">
        <v>17</v>
      </c>
      <c r="K34" s="215">
        <v>30</v>
      </c>
    </row>
    <row r="35" spans="2:11" ht="12.75">
      <c r="B35" s="213"/>
      <c r="C35" s="16" t="s">
        <v>57</v>
      </c>
      <c r="D35" s="6">
        <v>30</v>
      </c>
      <c r="E35" s="43">
        <v>17459</v>
      </c>
      <c r="F35" s="43">
        <v>100465</v>
      </c>
      <c r="G35" s="17">
        <f>AVERAGE(E35:F35)</f>
        <v>58962</v>
      </c>
      <c r="H35" s="19"/>
      <c r="K35" s="215">
        <v>30</v>
      </c>
    </row>
    <row r="36" spans="2:11" ht="12.75">
      <c r="B36" s="213"/>
      <c r="C36" s="16" t="s">
        <v>58</v>
      </c>
      <c r="D36" s="6">
        <v>30</v>
      </c>
      <c r="E36" s="43">
        <v>36000</v>
      </c>
      <c r="F36" s="43">
        <v>72400</v>
      </c>
      <c r="G36" s="17">
        <f>AVERAGE(E36:F36)</f>
        <v>54200</v>
      </c>
      <c r="H36" s="19"/>
      <c r="K36" s="215">
        <v>30</v>
      </c>
    </row>
    <row r="37" spans="2:11" ht="12.75">
      <c r="B37" s="213"/>
      <c r="C37" s="16" t="s">
        <v>59</v>
      </c>
      <c r="D37" s="6">
        <v>20</v>
      </c>
      <c r="E37" s="43">
        <v>4221</v>
      </c>
      <c r="F37" s="43">
        <v>24714</v>
      </c>
      <c r="G37" s="17">
        <f>AVERAGE(E37:F37)</f>
        <v>14467.5</v>
      </c>
      <c r="H37" s="19"/>
      <c r="K37" s="215">
        <v>30</v>
      </c>
    </row>
    <row r="38" spans="3:8" ht="12.75">
      <c r="C38" s="16"/>
      <c r="D38" s="6"/>
      <c r="E38" s="43"/>
      <c r="F38" s="43"/>
      <c r="G38" s="17"/>
      <c r="H38" s="19"/>
    </row>
    <row r="39" spans="2:11" ht="12.75">
      <c r="B39" s="213"/>
      <c r="C39" s="16" t="s">
        <v>95</v>
      </c>
      <c r="D39" s="6">
        <v>40</v>
      </c>
      <c r="E39" s="45">
        <v>41.02</v>
      </c>
      <c r="F39" s="45">
        <v>60.78</v>
      </c>
      <c r="G39" s="56">
        <v>41.27</v>
      </c>
      <c r="H39" s="18" t="s">
        <v>15</v>
      </c>
      <c r="K39" s="215">
        <v>25</v>
      </c>
    </row>
    <row r="40" spans="2:11" ht="12.75">
      <c r="B40" s="213"/>
      <c r="C40" s="16" t="s">
        <v>92</v>
      </c>
      <c r="D40" s="6">
        <v>30</v>
      </c>
      <c r="E40" s="43">
        <f>G40-3.81</f>
        <v>30.84</v>
      </c>
      <c r="F40" s="43">
        <f>G40+3.85</f>
        <v>38.5</v>
      </c>
      <c r="G40" s="17">
        <v>34.65</v>
      </c>
      <c r="H40" s="18" t="s">
        <v>15</v>
      </c>
      <c r="I40" s="217">
        <f>E40-G40</f>
        <v>-3.8099999999999987</v>
      </c>
      <c r="J40" s="217">
        <f>F40-G40</f>
        <v>3.8500000000000014</v>
      </c>
      <c r="K40" s="215">
        <v>30</v>
      </c>
    </row>
    <row r="41" spans="2:11" ht="12.75">
      <c r="B41" s="213"/>
      <c r="C41" s="16" t="s">
        <v>93</v>
      </c>
      <c r="D41" s="6">
        <v>30</v>
      </c>
      <c r="E41" s="43">
        <v>15.5</v>
      </c>
      <c r="F41" s="43">
        <v>24.85</v>
      </c>
      <c r="G41" s="17">
        <v>19.5</v>
      </c>
      <c r="H41" s="18" t="s">
        <v>15</v>
      </c>
      <c r="K41" s="215">
        <v>25</v>
      </c>
    </row>
    <row r="42" spans="3:8" ht="12.75">
      <c r="C42" s="16"/>
      <c r="D42" s="6"/>
      <c r="E42" s="43"/>
      <c r="F42" s="43"/>
      <c r="G42" s="17"/>
      <c r="H42" s="19"/>
    </row>
    <row r="43" spans="3:8" ht="13.5" thickBot="1">
      <c r="C43" s="20"/>
      <c r="D43" s="21"/>
      <c r="E43" s="44"/>
      <c r="F43" s="44"/>
      <c r="G43" s="42"/>
      <c r="H43" s="22"/>
    </row>
    <row r="44" ht="13.5" thickTop="1">
      <c r="C44" s="54" t="s">
        <v>154</v>
      </c>
    </row>
    <row r="45" ht="12.75">
      <c r="C45" s="54"/>
    </row>
    <row r="46" ht="12.75">
      <c r="C46" t="s">
        <v>151</v>
      </c>
    </row>
    <row r="47" spans="2:3" ht="12.75">
      <c r="B47" s="30"/>
      <c r="C47" s="29" t="s">
        <v>152</v>
      </c>
    </row>
    <row r="48" spans="2:3" ht="12.75">
      <c r="B48" s="12"/>
      <c r="C48" s="29" t="s">
        <v>153</v>
      </c>
    </row>
    <row r="50" ht="12.75">
      <c r="C50" s="214">
        <v>40808</v>
      </c>
    </row>
    <row r="53" ht="12.75">
      <c r="G53" t="s">
        <v>87</v>
      </c>
    </row>
    <row r="54" ht="12.75">
      <c r="C54" t="s">
        <v>87</v>
      </c>
    </row>
  </sheetData>
  <sheetProtection password="E434" sheet="1" selectLockedCells="1" selectUnlockedCells="1"/>
  <mergeCells count="2">
    <mergeCell ref="G4:H4"/>
    <mergeCell ref="C1:H1"/>
  </mergeCells>
  <printOptions/>
  <pageMargins left="0.3937007874015748" right="0.3937007874015748" top="0.984251968503937" bottom="0.984251968503937" header="0.5118110236220472" footer="0.5118110236220472"/>
  <pageSetup horizontalDpi="1200" verticalDpi="12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Groupe conseil agricole Chaudière-Etchemin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dc:creator>
  <cp:keywords/>
  <dc:description/>
  <cp:lastModifiedBy>evelinef</cp:lastModifiedBy>
  <cp:lastPrinted>2008-05-28T18:58:40Z</cp:lastPrinted>
  <dcterms:created xsi:type="dcterms:W3CDTF">2005-07-14T12:56:56Z</dcterms:created>
  <dcterms:modified xsi:type="dcterms:W3CDTF">2011-09-22T19:44:05Z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