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Publications\PBBO0104\Outil_de_Calcul\"/>
    </mc:Choice>
  </mc:AlternateContent>
  <bookViews>
    <workbookView xWindow="0" yWindow="0" windowWidth="13515" windowHeight="7335"/>
  </bookViews>
  <sheets>
    <sheet name="Outil_de_calcul" sheetId="1" r:id="rId1"/>
    <sheet name="Feuil1" sheetId="4" state="hidden" r:id="rId2"/>
    <sheet name="Méthode_Petersen" sheetId="3" state="hidden" r:id="rId3"/>
    <sheet name="Méthode_linéaire" sheetId="2" state="hidden" r:id="rId4"/>
  </sheets>
  <definedNames>
    <definedName name="_xlnm.Print_Titles" localSheetId="0">Outil_de_calcul!$1:$1</definedName>
    <definedName name="_xlnm.Print_Area" localSheetId="0">Outil_de_calcul!$A$1:$N$71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  <c r="F15" i="1" l="1"/>
  <c r="F32" i="1" l="1"/>
  <c r="A21" i="2" l="1"/>
  <c r="B21" i="2"/>
  <c r="C21" i="2"/>
  <c r="F21" i="2"/>
  <c r="D20" i="3" s="1"/>
  <c r="A20" i="3"/>
  <c r="B20" i="3"/>
  <c r="C20" i="3"/>
  <c r="G32" i="1"/>
  <c r="E21" i="2" s="1"/>
  <c r="D21" i="2" l="1"/>
  <c r="F17" i="2"/>
  <c r="D16" i="3" s="1"/>
  <c r="A17" i="2"/>
  <c r="B17" i="2"/>
  <c r="C17" i="2"/>
  <c r="A16" i="3"/>
  <c r="B16" i="3"/>
  <c r="C16" i="3"/>
  <c r="F28" i="1"/>
  <c r="G28" i="1" s="1"/>
  <c r="E17" i="2" s="1"/>
  <c r="D17" i="2" l="1"/>
  <c r="I12" i="3"/>
  <c r="J12" i="3" s="1"/>
  <c r="B4" i="2" l="1"/>
  <c r="B5" i="2"/>
  <c r="B6" i="2"/>
  <c r="B7" i="2"/>
  <c r="B8" i="2"/>
  <c r="B9" i="2"/>
  <c r="B10" i="2"/>
  <c r="B11" i="2"/>
  <c r="B12" i="2"/>
  <c r="B13" i="2"/>
  <c r="B14" i="2"/>
  <c r="B15" i="2"/>
  <c r="B16" i="2"/>
  <c r="B18" i="2"/>
  <c r="B19" i="2"/>
  <c r="B20" i="2"/>
  <c r="B3" i="2"/>
  <c r="A19" i="3"/>
  <c r="B19" i="3"/>
  <c r="C19" i="3"/>
  <c r="A3" i="3"/>
  <c r="B3" i="3"/>
  <c r="C3" i="3"/>
  <c r="A4" i="3"/>
  <c r="B4" i="3"/>
  <c r="C4" i="3"/>
  <c r="A5" i="3"/>
  <c r="B5" i="3"/>
  <c r="C5" i="3"/>
  <c r="A6" i="3"/>
  <c r="B6" i="3"/>
  <c r="C6" i="3"/>
  <c r="A7" i="3"/>
  <c r="B7" i="3"/>
  <c r="C7" i="3"/>
  <c r="A8" i="3"/>
  <c r="B8" i="3"/>
  <c r="C8" i="3"/>
  <c r="A9" i="3"/>
  <c r="B9" i="3"/>
  <c r="C9" i="3"/>
  <c r="A10" i="3"/>
  <c r="B10" i="3"/>
  <c r="C10" i="3"/>
  <c r="A11" i="3"/>
  <c r="B11" i="3"/>
  <c r="C11" i="3"/>
  <c r="A12" i="3"/>
  <c r="B12" i="3"/>
  <c r="C12" i="3"/>
  <c r="A13" i="3"/>
  <c r="B13" i="3"/>
  <c r="C13" i="3"/>
  <c r="A14" i="3"/>
  <c r="B14" i="3"/>
  <c r="C14" i="3"/>
  <c r="A15" i="3"/>
  <c r="B15" i="3"/>
  <c r="C15" i="3"/>
  <c r="A17" i="3"/>
  <c r="B17" i="3"/>
  <c r="C17" i="3"/>
  <c r="A18" i="3"/>
  <c r="B18" i="3"/>
  <c r="C18" i="3"/>
  <c r="C2" i="3"/>
  <c r="B2" i="3"/>
  <c r="A2" i="3"/>
  <c r="F5" i="2"/>
  <c r="D4" i="3" s="1"/>
  <c r="F6" i="2"/>
  <c r="D5" i="3" s="1"/>
  <c r="F7" i="2"/>
  <c r="D6" i="3" s="1"/>
  <c r="F8" i="2"/>
  <c r="D7" i="3" s="1"/>
  <c r="F9" i="2"/>
  <c r="D8" i="3" s="1"/>
  <c r="F10" i="2"/>
  <c r="D9" i="3" s="1"/>
  <c r="F11" i="2"/>
  <c r="D10" i="3" s="1"/>
  <c r="F12" i="2"/>
  <c r="D11" i="3" s="1"/>
  <c r="F13" i="2"/>
  <c r="D12" i="3" s="1"/>
  <c r="F14" i="2"/>
  <c r="F15" i="2"/>
  <c r="D14" i="3" s="1"/>
  <c r="F16" i="2"/>
  <c r="D15" i="3" s="1"/>
  <c r="F18" i="2"/>
  <c r="D17" i="3" s="1"/>
  <c r="F19" i="2"/>
  <c r="D18" i="3" s="1"/>
  <c r="F20" i="2"/>
  <c r="D19" i="3" s="1"/>
  <c r="A7" i="2"/>
  <c r="C7" i="2"/>
  <c r="A8" i="2"/>
  <c r="C8" i="2"/>
  <c r="F18" i="1"/>
  <c r="G18" i="1" s="1"/>
  <c r="E7" i="2" s="1"/>
  <c r="F19" i="1"/>
  <c r="G19" i="1" s="1"/>
  <c r="E8" i="2" s="1"/>
  <c r="F4" i="2"/>
  <c r="D3" i="3" s="1"/>
  <c r="F3" i="2"/>
  <c r="D2" i="3" s="1"/>
  <c r="A20" i="2"/>
  <c r="C20" i="2"/>
  <c r="A4" i="2"/>
  <c r="C4" i="2"/>
  <c r="A5" i="2"/>
  <c r="C5" i="2"/>
  <c r="A6" i="2"/>
  <c r="C6" i="2"/>
  <c r="A9" i="2"/>
  <c r="C9" i="2"/>
  <c r="A10" i="2"/>
  <c r="C10" i="2"/>
  <c r="A11" i="2"/>
  <c r="C11" i="2"/>
  <c r="A12" i="2"/>
  <c r="C12" i="2"/>
  <c r="A13" i="2"/>
  <c r="C13" i="2"/>
  <c r="A14" i="2"/>
  <c r="C14" i="2"/>
  <c r="A15" i="2"/>
  <c r="C15" i="2"/>
  <c r="A16" i="2"/>
  <c r="C16" i="2"/>
  <c r="A18" i="2"/>
  <c r="C18" i="2"/>
  <c r="A19" i="2"/>
  <c r="C19" i="2"/>
  <c r="E3" i="2"/>
  <c r="D3" i="2"/>
  <c r="C3" i="2"/>
  <c r="A3" i="2"/>
  <c r="D13" i="3" l="1"/>
  <c r="C27" i="3"/>
  <c r="D27" i="3"/>
  <c r="D26" i="3"/>
  <c r="C26" i="3"/>
  <c r="B27" i="3"/>
  <c r="B26" i="3"/>
  <c r="B26" i="2" a="1"/>
  <c r="B26" i="2" s="1"/>
  <c r="D8" i="2"/>
  <c r="F7" i="3"/>
  <c r="C22" i="3" s="1"/>
  <c r="D7" i="2"/>
  <c r="G7" i="3"/>
  <c r="D22" i="3" s="1"/>
  <c r="F16" i="1"/>
  <c r="D5" i="2" s="1"/>
  <c r="D6" i="2"/>
  <c r="F20" i="1"/>
  <c r="D9" i="2" s="1"/>
  <c r="F21" i="1"/>
  <c r="D10" i="2" s="1"/>
  <c r="F22" i="1"/>
  <c r="D11" i="2" s="1"/>
  <c r="F23" i="1"/>
  <c r="D12" i="2" s="1"/>
  <c r="F24" i="1"/>
  <c r="D13" i="2" s="1"/>
  <c r="F25" i="1"/>
  <c r="D14" i="2" s="1"/>
  <c r="F26" i="1"/>
  <c r="D15" i="2" s="1"/>
  <c r="F27" i="1"/>
  <c r="D16" i="2" s="1"/>
  <c r="F29" i="1"/>
  <c r="F30" i="1"/>
  <c r="F31" i="1"/>
  <c r="D20" i="2" s="1"/>
  <c r="D4" i="2"/>
  <c r="B28" i="3" l="1" a="1"/>
  <c r="B27" i="2"/>
  <c r="G15" i="1"/>
  <c r="E4" i="2" s="1"/>
  <c r="C27" i="2"/>
  <c r="G22" i="1"/>
  <c r="E11" i="2" s="1"/>
  <c r="D27" i="2"/>
  <c r="B28" i="2"/>
  <c r="C26" i="2"/>
  <c r="I10" i="2" s="1"/>
  <c r="L21" i="1" s="1"/>
  <c r="C28" i="2"/>
  <c r="D28" i="2"/>
  <c r="D26" i="2"/>
  <c r="C24" i="3"/>
  <c r="D24" i="3" s="1"/>
  <c r="G21" i="1"/>
  <c r="E10" i="2" s="1"/>
  <c r="G31" i="1"/>
  <c r="E20" i="2" s="1"/>
  <c r="G20" i="1"/>
  <c r="E9" i="2" s="1"/>
  <c r="G27" i="1"/>
  <c r="E16" i="2" s="1"/>
  <c r="G17" i="1"/>
  <c r="E6" i="2" s="1"/>
  <c r="G26" i="1"/>
  <c r="E15" i="2" s="1"/>
  <c r="G16" i="1"/>
  <c r="E5" i="2" s="1"/>
  <c r="G30" i="1"/>
  <c r="E19" i="2" s="1"/>
  <c r="D19" i="2"/>
  <c r="G29" i="1"/>
  <c r="E18" i="2" s="1"/>
  <c r="D18" i="2"/>
  <c r="G25" i="1"/>
  <c r="E14" i="2" s="1"/>
  <c r="G24" i="1"/>
  <c r="E13" i="2" s="1"/>
  <c r="G23" i="1"/>
  <c r="E12" i="2" s="1"/>
  <c r="C23" i="2" l="1" a="1"/>
  <c r="C23" i="2" s="1"/>
  <c r="I20" i="2"/>
  <c r="L31" i="1" s="1"/>
  <c r="I21" i="2"/>
  <c r="L32" i="1" s="1"/>
  <c r="C28" i="3"/>
  <c r="B29" i="3"/>
  <c r="C29" i="3"/>
  <c r="B28" i="3"/>
  <c r="I17" i="2"/>
  <c r="L28" i="1" s="1"/>
  <c r="I11" i="2"/>
  <c r="L22" i="1" s="1"/>
  <c r="I19" i="2"/>
  <c r="L30" i="1" s="1"/>
  <c r="I8" i="2"/>
  <c r="L19" i="1" s="1"/>
  <c r="I15" i="2"/>
  <c r="L26" i="1" s="1"/>
  <c r="I7" i="2"/>
  <c r="L18" i="1" s="1"/>
  <c r="I6" i="2"/>
  <c r="L17" i="1" s="1"/>
  <c r="I18" i="2"/>
  <c r="L29" i="1" s="1"/>
  <c r="I4" i="2"/>
  <c r="L15" i="1" s="1"/>
  <c r="I16" i="2"/>
  <c r="L27" i="1" s="1"/>
  <c r="I9" i="2"/>
  <c r="L20" i="1" s="1"/>
  <c r="I5" i="2"/>
  <c r="L16" i="1" s="1"/>
  <c r="I14" i="2"/>
  <c r="L25" i="1" s="1"/>
  <c r="I12" i="2"/>
  <c r="L23" i="1" s="1"/>
  <c r="I13" i="2"/>
  <c r="L24" i="1" s="1"/>
  <c r="B24" i="3"/>
  <c r="D23" i="2" l="1"/>
  <c r="E24" i="2"/>
  <c r="C24" i="2"/>
  <c r="F23" i="2"/>
  <c r="D24" i="2"/>
  <c r="F24" i="2"/>
  <c r="E23" i="2"/>
  <c r="D28" i="3" a="1"/>
  <c r="D29" i="3" s="1"/>
  <c r="C30" i="3" s="1"/>
  <c r="G21" i="2" l="1"/>
  <c r="K32" i="1" s="1"/>
  <c r="N32" i="1" s="1"/>
  <c r="D28" i="3"/>
  <c r="G14" i="2"/>
  <c r="K25" i="1" s="1"/>
  <c r="N25" i="1" s="1"/>
  <c r="G16" i="2"/>
  <c r="H16" i="2" s="1"/>
  <c r="G18" i="2"/>
  <c r="H18" i="2" s="1"/>
  <c r="G12" i="2"/>
  <c r="H12" i="2" s="1"/>
  <c r="G6" i="2"/>
  <c r="H6" i="2" s="1"/>
  <c r="G13" i="2"/>
  <c r="H13" i="2" s="1"/>
  <c r="G17" i="2"/>
  <c r="K28" i="1" s="1"/>
  <c r="N28" i="1" s="1"/>
  <c r="G15" i="2"/>
  <c r="K26" i="1" s="1"/>
  <c r="N26" i="1" s="1"/>
  <c r="G4" i="2"/>
  <c r="K15" i="1" s="1"/>
  <c r="N15" i="1" s="1"/>
  <c r="G9" i="2"/>
  <c r="G19" i="2"/>
  <c r="H19" i="2" s="1"/>
  <c r="G11" i="2"/>
  <c r="H11" i="2" s="1"/>
  <c r="G20" i="2"/>
  <c r="H20" i="2" s="1"/>
  <c r="G7" i="2"/>
  <c r="H7" i="2" s="1"/>
  <c r="G5" i="2"/>
  <c r="H5" i="2" s="1"/>
  <c r="G8" i="2"/>
  <c r="K19" i="1" s="1"/>
  <c r="N19" i="1" s="1"/>
  <c r="G10" i="2"/>
  <c r="B31" i="3" l="1"/>
  <c r="E3" i="3"/>
  <c r="J15" i="1" s="1"/>
  <c r="M15" i="1" s="1"/>
  <c r="H21" i="2"/>
  <c r="E20" i="3"/>
  <c r="J32" i="1" s="1"/>
  <c r="M32" i="1" s="1"/>
  <c r="E8" i="3"/>
  <c r="J20" i="1" s="1"/>
  <c r="M20" i="1" s="1"/>
  <c r="E14" i="3"/>
  <c r="J26" i="1" s="1"/>
  <c r="M26" i="1" s="1"/>
  <c r="E16" i="3"/>
  <c r="J28" i="1" s="1"/>
  <c r="M28" i="1" s="1"/>
  <c r="E19" i="3"/>
  <c r="J31" i="1" s="1"/>
  <c r="M31" i="1" s="1"/>
  <c r="E10" i="3"/>
  <c r="J22" i="1" s="1"/>
  <c r="M22" i="1" s="1"/>
  <c r="E4" i="3"/>
  <c r="J16" i="1" s="1"/>
  <c r="M16" i="1" s="1"/>
  <c r="E13" i="3"/>
  <c r="J25" i="1" s="1"/>
  <c r="M25" i="1" s="1"/>
  <c r="E12" i="3"/>
  <c r="J24" i="1" s="1"/>
  <c r="M24" i="1" s="1"/>
  <c r="E18" i="3"/>
  <c r="J30" i="1" s="1"/>
  <c r="M30" i="1" s="1"/>
  <c r="E11" i="3"/>
  <c r="J23" i="1" s="1"/>
  <c r="M23" i="1" s="1"/>
  <c r="E15" i="3"/>
  <c r="J27" i="1" s="1"/>
  <c r="M27" i="1" s="1"/>
  <c r="E9" i="3"/>
  <c r="J21" i="1" s="1"/>
  <c r="M21" i="1" s="1"/>
  <c r="B30" i="3"/>
  <c r="E5" i="3"/>
  <c r="J17" i="1" s="1"/>
  <c r="M17" i="1" s="1"/>
  <c r="E6" i="3"/>
  <c r="J18" i="1" s="1"/>
  <c r="M18" i="1" s="1"/>
  <c r="E17" i="3"/>
  <c r="J29" i="1" s="1"/>
  <c r="M29" i="1" s="1"/>
  <c r="E7" i="3"/>
  <c r="J19" i="1" s="1"/>
  <c r="M19" i="1" s="1"/>
  <c r="K29" i="1"/>
  <c r="N29" i="1" s="1"/>
  <c r="H14" i="2"/>
  <c r="K22" i="1"/>
  <c r="N22" i="1" s="1"/>
  <c r="K17" i="1"/>
  <c r="N17" i="1" s="1"/>
  <c r="K27" i="1"/>
  <c r="N27" i="1" s="1"/>
  <c r="K23" i="1"/>
  <c r="N23" i="1" s="1"/>
  <c r="K24" i="1"/>
  <c r="N24" i="1" s="1"/>
  <c r="H17" i="2"/>
  <c r="H15" i="2"/>
  <c r="K30" i="1"/>
  <c r="N30" i="1" s="1"/>
  <c r="H4" i="2"/>
  <c r="K20" i="1"/>
  <c r="N20" i="1" s="1"/>
  <c r="H9" i="2"/>
  <c r="K31" i="1"/>
  <c r="N31" i="1" s="1"/>
  <c r="K18" i="1"/>
  <c r="N18" i="1" s="1"/>
  <c r="K16" i="1"/>
  <c r="N16" i="1" s="1"/>
  <c r="H10" i="2"/>
  <c r="K21" i="1"/>
  <c r="N21" i="1" s="1"/>
  <c r="H8" i="2"/>
  <c r="E22" i="3" l="1"/>
</calcChain>
</file>

<file path=xl/sharedStrings.xml><?xml version="1.0" encoding="utf-8"?>
<sst xmlns="http://schemas.openxmlformats.org/spreadsheetml/2006/main" count="52" uniqueCount="49">
  <si>
    <t>NEM</t>
  </si>
  <si>
    <t>PB</t>
  </si>
  <si>
    <t>RDP_RUP</t>
  </si>
  <si>
    <t>CP</t>
  </si>
  <si>
    <t>Entrées</t>
  </si>
  <si>
    <t>PB= Protéine brute, % MS</t>
  </si>
  <si>
    <t>Aliment de référence pour la méthode Petersen</t>
  </si>
  <si>
    <t>Énergie</t>
  </si>
  <si>
    <t>Protéine</t>
  </si>
  <si>
    <t>Aliments</t>
  </si>
  <si>
    <t>Avoine</t>
  </si>
  <si>
    <t>Orge</t>
  </si>
  <si>
    <t>Blé</t>
  </si>
  <si>
    <t>Maïs</t>
  </si>
  <si>
    <t>Tourteau de soya</t>
  </si>
  <si>
    <t>Tourteau de canola</t>
  </si>
  <si>
    <t>Fin gluten de maïs</t>
  </si>
  <si>
    <t>Drêche de distillerie sec</t>
  </si>
  <si>
    <t>Drêche de brasserie sec</t>
  </si>
  <si>
    <t>Soya torréfié</t>
  </si>
  <si>
    <t>Gros gluten</t>
  </si>
  <si>
    <t>Écale de soya</t>
  </si>
  <si>
    <t>Son de blé</t>
  </si>
  <si>
    <t>Moulé 16% PB</t>
  </si>
  <si>
    <t>Foin sec mature</t>
  </si>
  <si>
    <t>Foin sec jeune</t>
  </si>
  <si>
    <t>Ensilage de maïs</t>
  </si>
  <si>
    <t>Type</t>
  </si>
  <si>
    <t>Protéine dégradable, 
% PB</t>
  </si>
  <si>
    <t>PDR, 
% MS</t>
  </si>
  <si>
    <t>PNDR, 
% MS</t>
  </si>
  <si>
    <t>Prix dégradabilité</t>
  </si>
  <si>
    <t>Prix brute</t>
  </si>
  <si>
    <t>NEM = énergie nette d'entretien, mcal/kg</t>
  </si>
  <si>
    <t>Rouge = moins intéressant</t>
  </si>
  <si>
    <t>Petersen</t>
  </si>
  <si>
    <t>linéaire</t>
  </si>
  <si>
    <t>Valeur résiduelle</t>
  </si>
  <si>
    <t>Vert = plus intéressant</t>
  </si>
  <si>
    <t>Afficher pour voir</t>
  </si>
  <si>
    <t>Prix réel
$</t>
  </si>
  <si>
    <t>Prix Petersen
$</t>
  </si>
  <si>
    <t>Prix linéaire dégradabilité
$</t>
  </si>
  <si>
    <t>Prix linéaire brute
$</t>
  </si>
  <si>
    <t xml:space="preserve">Autre </t>
  </si>
  <si>
    <t>Outil de calcul de prix pour les aliments</t>
  </si>
  <si>
    <t>Ce projet a été réalisé grâce à une aide financière du Programme Innov'Action agroalimentaire issu de l'Accord Canada-Québec de mise en œuvre du Partenariat canadien pour l'Agriculture.</t>
  </si>
  <si>
    <r>
      <rPr>
        <b/>
        <sz val="11"/>
        <color theme="1"/>
        <rFont val="Calibri"/>
        <family val="2"/>
        <scheme val="minor"/>
      </rPr>
      <t>Réalisé par :</t>
    </r>
    <r>
      <rPr>
        <sz val="11"/>
        <color theme="1"/>
        <rFont val="Calibri"/>
        <family val="2"/>
        <scheme val="minor"/>
      </rPr>
      <t xml:space="preserve"> Simon Binggeli, agronome, étudiant au doctorat en sciences animales, Faculté des sciences de l'agriculture et de l'alimentation, Université Laval</t>
    </r>
  </si>
  <si>
    <r>
      <t xml:space="preserve">Voici un outil de calcul qui permet d'évaluer la valeur nutritive des aliments selon deux méthodes : Petersen et linéaire.
Afin de connaître quel aliment est le plus intéressant à servir à vos vaches, vous n'avez qu'à ajuster les prix réels des aliments (colonne H). </t>
    </r>
    <r>
      <rPr>
        <sz val="11"/>
        <color rgb="FFFF0000"/>
        <rFont val="Calibri"/>
        <family val="2"/>
        <scheme val="minor"/>
      </rPr>
      <t>Il est aussi possible de modifier la composition des aliments, si celle-ci est connue (</t>
    </r>
    <r>
      <rPr>
        <b/>
        <sz val="11"/>
        <color rgb="FFFF0000"/>
        <rFont val="Calibri"/>
        <family val="2"/>
        <scheme val="minor"/>
      </rPr>
      <t>cellule blanche)</t>
    </r>
    <r>
      <rPr>
        <sz val="11"/>
        <color rgb="FFFF0000"/>
        <rFont val="Calibri"/>
        <family val="2"/>
        <scheme val="minor"/>
      </rPr>
      <t>.</t>
    </r>
    <r>
      <rPr>
        <sz val="11"/>
        <color theme="1"/>
        <rFont val="Calibri"/>
        <family val="2"/>
        <scheme val="minor"/>
      </rPr>
      <t xml:space="preserve">
Une ligne Autre (ligne 32), permet d'ajouter un aliment qui n'est pas dans la liste ou un aliment qui a des valeurs en énergie nette d'entretien (NEM), en protéine brute (PB) et en protéine dégradable différent.
Cet outil est pour donner un aperçu des aliments qui seraient les plus intéressants à utiliser durant les périodes à besoins plus élevés, la formulation d'une ration adéquate reste cependant fortement recommandée afin d'utiliser au mieux les ressources et de tenter de minimiser les coûts alimentaires.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</si>
</sst>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4" borderId="0" applyNumberFormat="0" applyBorder="0" applyAlignment="0" applyProtection="0"/>
    <xf numFmtId="0" fontId="3" fillId="5" borderId="0" applyNumberFormat="0" applyBorder="0" applyAlignment="0" applyProtection="0"/>
    <xf numFmtId="0" fontId="4" fillId="6" borderId="0" applyNumberFormat="0" applyBorder="0" applyAlignment="0" applyProtection="0"/>
  </cellStyleXfs>
  <cellXfs count="64">
    <xf numFmtId="0" fontId="0" fillId="0" borderId="0" xfId="0"/>
    <xf numFmtId="2" fontId="0" fillId="0" borderId="0" xfId="0" applyNumberFormat="1"/>
    <xf numFmtId="0" fontId="0" fillId="2" borderId="0" xfId="0" applyFill="1"/>
    <xf numFmtId="11" fontId="0" fillId="0" borderId="0" xfId="0" applyNumberFormat="1"/>
    <xf numFmtId="1" fontId="0" fillId="0" borderId="0" xfId="0" applyNumberFormat="1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164" fontId="0" fillId="0" borderId="0" xfId="0" applyNumberFormat="1"/>
    <xf numFmtId="0" fontId="1" fillId="0" borderId="9" xfId="0" applyFont="1" applyBorder="1" applyAlignment="1">
      <alignment horizontal="center" vertical="top" wrapText="1"/>
    </xf>
    <xf numFmtId="0" fontId="1" fillId="3" borderId="9" xfId="0" applyFont="1" applyFill="1" applyBorder="1" applyAlignment="1">
      <alignment horizontal="center" vertical="top" wrapText="1"/>
    </xf>
    <xf numFmtId="2" fontId="0" fillId="3" borderId="15" xfId="0" applyNumberFormat="1" applyFill="1" applyBorder="1"/>
    <xf numFmtId="2" fontId="0" fillId="3" borderId="16" xfId="0" applyNumberFormat="1" applyFill="1" applyBorder="1"/>
    <xf numFmtId="2" fontId="0" fillId="3" borderId="9" xfId="0" applyNumberFormat="1" applyFill="1" applyBorder="1"/>
    <xf numFmtId="0" fontId="2" fillId="4" borderId="0" xfId="1"/>
    <xf numFmtId="0" fontId="3" fillId="5" borderId="0" xfId="2"/>
    <xf numFmtId="0" fontId="1" fillId="8" borderId="9" xfId="0" applyFont="1" applyFill="1" applyBorder="1" applyAlignment="1">
      <alignment horizontal="center" vertical="top" wrapText="1"/>
    </xf>
    <xf numFmtId="0" fontId="0" fillId="8" borderId="0" xfId="0" applyFill="1"/>
    <xf numFmtId="0" fontId="0" fillId="8" borderId="9" xfId="0" applyFill="1" applyBorder="1"/>
    <xf numFmtId="0" fontId="0" fillId="0" borderId="15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1" fillId="0" borderId="17" xfId="0" applyFont="1" applyBorder="1" applyProtection="1">
      <protection locked="0"/>
    </xf>
    <xf numFmtId="0" fontId="1" fillId="0" borderId="17" xfId="0" applyFont="1" applyBorder="1" applyAlignment="1" applyProtection="1">
      <alignment horizontal="center"/>
      <protection locked="0"/>
    </xf>
    <xf numFmtId="2" fontId="4" fillId="6" borderId="0" xfId="3" applyNumberFormat="1"/>
    <xf numFmtId="2" fontId="4" fillId="6" borderId="9" xfId="3" applyNumberFormat="1" applyBorder="1"/>
    <xf numFmtId="0" fontId="1" fillId="0" borderId="9" xfId="0" applyFont="1" applyFill="1" applyBorder="1" applyAlignment="1">
      <alignment horizontal="center" vertical="top" wrapText="1"/>
    </xf>
    <xf numFmtId="0" fontId="0" fillId="0" borderId="15" xfId="0" applyFill="1" applyBorder="1"/>
    <xf numFmtId="0" fontId="0" fillId="0" borderId="16" xfId="0" applyFill="1" applyBorder="1"/>
    <xf numFmtId="0" fontId="0" fillId="0" borderId="17" xfId="0" applyFill="1" applyBorder="1"/>
    <xf numFmtId="0" fontId="1" fillId="0" borderId="9" xfId="0" applyFont="1" applyFill="1" applyBorder="1"/>
    <xf numFmtId="0" fontId="0" fillId="0" borderId="15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5" xfId="0" applyFill="1" applyBorder="1" applyProtection="1">
      <protection locked="0"/>
    </xf>
    <xf numFmtId="0" fontId="0" fillId="0" borderId="16" xfId="0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7" borderId="0" xfId="0" applyFill="1" applyAlignment="1">
      <alignment horizontal="left" vertical="top" wrapText="1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0" fillId="0" borderId="0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1" fillId="3" borderId="10" xfId="0" applyFont="1" applyFill="1" applyBorder="1" applyAlignment="1">
      <alignment horizontal="center" vertical="top" wrapText="1"/>
    </xf>
    <xf numFmtId="0" fontId="1" fillId="3" borderId="11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9" borderId="0" xfId="0" applyFill="1" applyAlignment="1">
      <alignment horizontal="left" vertical="top" wrapText="1"/>
    </xf>
    <xf numFmtId="0" fontId="5" fillId="9" borderId="0" xfId="0" applyFont="1" applyFill="1"/>
    <xf numFmtId="0" fontId="0" fillId="9" borderId="0" xfId="0" applyFill="1"/>
    <xf numFmtId="0" fontId="0" fillId="9" borderId="0" xfId="0" applyFill="1" applyBorder="1"/>
    <xf numFmtId="0" fontId="0" fillId="9" borderId="0" xfId="0" applyFill="1" applyBorder="1" applyAlignment="1">
      <alignment horizontal="center"/>
    </xf>
    <xf numFmtId="2" fontId="0" fillId="9" borderId="0" xfId="0" applyNumberFormat="1" applyFill="1"/>
    <xf numFmtId="0" fontId="0" fillId="9" borderId="0" xfId="0" applyFill="1" applyAlignment="1">
      <alignment horizontal="left"/>
    </xf>
    <xf numFmtId="0" fontId="6" fillId="9" borderId="0" xfId="0" applyFont="1" applyFill="1" applyAlignment="1">
      <alignment horizontal="justify" vertical="justify" wrapText="1"/>
    </xf>
    <xf numFmtId="0" fontId="0" fillId="9" borderId="0" xfId="0" applyFill="1" applyAlignment="1"/>
    <xf numFmtId="0" fontId="2" fillId="9" borderId="0" xfId="1" applyFill="1"/>
  </cellXfs>
  <cellStyles count="4">
    <cellStyle name="Insatisfaisant" xfId="2" builtinId="27"/>
    <cellStyle name="Neutre" xfId="3" builtinId="28"/>
    <cellStyle name="Normal" xfId="0" builtinId="0"/>
    <cellStyle name="Satisfaisant" xfId="1" builtinId="26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420536395933577E-2"/>
          <c:y val="3.504928403098044E-2"/>
          <c:w val="0.88931389211373602"/>
          <c:h val="0.86892993661921136"/>
        </c:manualLayout>
      </c:layout>
      <c:lineChart>
        <c:grouping val="standard"/>
        <c:varyColors val="0"/>
        <c:ser>
          <c:idx val="0"/>
          <c:order val="0"/>
          <c:tx>
            <c:strRef>
              <c:f>Outil_de_calcul!$M$14</c:f>
              <c:strCache>
                <c:ptCount val="1"/>
                <c:pt idx="0">
                  <c:v>Petersen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Outil_de_calcul!$A$15:$A$31</c:f>
              <c:strCache>
                <c:ptCount val="17"/>
                <c:pt idx="0">
                  <c:v>Avoine</c:v>
                </c:pt>
                <c:pt idx="1">
                  <c:v>Orge</c:v>
                </c:pt>
                <c:pt idx="2">
                  <c:v>Blé</c:v>
                </c:pt>
                <c:pt idx="3">
                  <c:v>Maïs</c:v>
                </c:pt>
                <c:pt idx="4">
                  <c:v>Tourteau de soya</c:v>
                </c:pt>
                <c:pt idx="5">
                  <c:v>Tourteau de canola</c:v>
                </c:pt>
                <c:pt idx="6">
                  <c:v>Fin gluten de maïs</c:v>
                </c:pt>
                <c:pt idx="7">
                  <c:v>Drêche de distillerie sec</c:v>
                </c:pt>
                <c:pt idx="8">
                  <c:v>Drêche de brasserie sec</c:v>
                </c:pt>
                <c:pt idx="9">
                  <c:v>Soya torréfié</c:v>
                </c:pt>
                <c:pt idx="10">
                  <c:v>Gros gluten</c:v>
                </c:pt>
                <c:pt idx="11">
                  <c:v>Écale de soya</c:v>
                </c:pt>
                <c:pt idx="12">
                  <c:v>Son de blé</c:v>
                </c:pt>
                <c:pt idx="13">
                  <c:v>Moulé 16% PB</c:v>
                </c:pt>
                <c:pt idx="14">
                  <c:v>Foin sec mature</c:v>
                </c:pt>
                <c:pt idx="15">
                  <c:v>Foin sec jeune</c:v>
                </c:pt>
                <c:pt idx="16">
                  <c:v>Ensilage de maïs</c:v>
                </c:pt>
              </c:strCache>
            </c:strRef>
          </c:cat>
          <c:val>
            <c:numRef>
              <c:f>Outil_de_calcul!$M$15:$M$31</c:f>
              <c:numCache>
                <c:formatCode>0.00</c:formatCode>
                <c:ptCount val="17"/>
                <c:pt idx="0">
                  <c:v>55.760285522907111</c:v>
                </c:pt>
                <c:pt idx="1">
                  <c:v>-53.4197280979987</c:v>
                </c:pt>
                <c:pt idx="2">
                  <c:v>6.4433694575312188</c:v>
                </c:pt>
                <c:pt idx="3">
                  <c:v>0</c:v>
                </c:pt>
                <c:pt idx="4">
                  <c:v>0</c:v>
                </c:pt>
                <c:pt idx="5">
                  <c:v>24.151792315969146</c:v>
                </c:pt>
                <c:pt idx="6">
                  <c:v>51.985858492926582</c:v>
                </c:pt>
                <c:pt idx="7">
                  <c:v>15.893929721063159</c:v>
                </c:pt>
                <c:pt idx="8">
                  <c:v>87.088694087247916</c:v>
                </c:pt>
                <c:pt idx="9">
                  <c:v>177.00972873753062</c:v>
                </c:pt>
                <c:pt idx="10">
                  <c:v>-9.4605268620192646</c:v>
                </c:pt>
                <c:pt idx="11">
                  <c:v>76.926365204083623</c:v>
                </c:pt>
                <c:pt idx="12">
                  <c:v>57.222053301050096</c:v>
                </c:pt>
                <c:pt idx="13">
                  <c:v>114.83360391887152</c:v>
                </c:pt>
                <c:pt idx="14">
                  <c:v>-28.070122980846548</c:v>
                </c:pt>
                <c:pt idx="15">
                  <c:v>-83.910563158254945</c:v>
                </c:pt>
                <c:pt idx="16">
                  <c:v>-47.439628757389642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24-45FE-9FE3-5DBCFABD0F35}"/>
            </c:ext>
          </c:extLst>
        </c:ser>
        <c:ser>
          <c:idx val="1"/>
          <c:order val="1"/>
          <c:tx>
            <c:strRef>
              <c:f>Outil_de_calcul!$N$14</c:f>
              <c:strCache>
                <c:ptCount val="1"/>
                <c:pt idx="0">
                  <c:v>linéaire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Outil_de_calcul!$A$15:$A$31</c:f>
              <c:strCache>
                <c:ptCount val="17"/>
                <c:pt idx="0">
                  <c:v>Avoine</c:v>
                </c:pt>
                <c:pt idx="1">
                  <c:v>Orge</c:v>
                </c:pt>
                <c:pt idx="2">
                  <c:v>Blé</c:v>
                </c:pt>
                <c:pt idx="3">
                  <c:v>Maïs</c:v>
                </c:pt>
                <c:pt idx="4">
                  <c:v>Tourteau de soya</c:v>
                </c:pt>
                <c:pt idx="5">
                  <c:v>Tourteau de canola</c:v>
                </c:pt>
                <c:pt idx="6">
                  <c:v>Fin gluten de maïs</c:v>
                </c:pt>
                <c:pt idx="7">
                  <c:v>Drêche de distillerie sec</c:v>
                </c:pt>
                <c:pt idx="8">
                  <c:v>Drêche de brasserie sec</c:v>
                </c:pt>
                <c:pt idx="9">
                  <c:v>Soya torréfié</c:v>
                </c:pt>
                <c:pt idx="10">
                  <c:v>Gros gluten</c:v>
                </c:pt>
                <c:pt idx="11">
                  <c:v>Écale de soya</c:v>
                </c:pt>
                <c:pt idx="12">
                  <c:v>Son de blé</c:v>
                </c:pt>
                <c:pt idx="13">
                  <c:v>Moulé 16% PB</c:v>
                </c:pt>
                <c:pt idx="14">
                  <c:v>Foin sec mature</c:v>
                </c:pt>
                <c:pt idx="15">
                  <c:v>Foin sec jeune</c:v>
                </c:pt>
                <c:pt idx="16">
                  <c:v>Ensilage de maïs</c:v>
                </c:pt>
              </c:strCache>
            </c:strRef>
          </c:cat>
          <c:val>
            <c:numRef>
              <c:f>Outil_de_calcul!$N$15:$N$31</c:f>
              <c:numCache>
                <c:formatCode>0.00</c:formatCode>
                <c:ptCount val="17"/>
                <c:pt idx="0">
                  <c:v>40.191695529522747</c:v>
                </c:pt>
                <c:pt idx="1">
                  <c:v>-69.025837376233426</c:v>
                </c:pt>
                <c:pt idx="2">
                  <c:v>-9.6980601742800445</c:v>
                </c:pt>
                <c:pt idx="3">
                  <c:v>-11.902398412855689</c:v>
                </c:pt>
                <c:pt idx="4">
                  <c:v>-51.610178606339559</c:v>
                </c:pt>
                <c:pt idx="5">
                  <c:v>-19.384603984987848</c:v>
                </c:pt>
                <c:pt idx="6">
                  <c:v>-25.410937093131224</c:v>
                </c:pt>
                <c:pt idx="7">
                  <c:v>-20.207138299192934</c:v>
                </c:pt>
                <c:pt idx="8">
                  <c:v>58.484706977194833</c:v>
                </c:pt>
                <c:pt idx="9">
                  <c:v>133.43779254877495</c:v>
                </c:pt>
                <c:pt idx="10">
                  <c:v>-34.235510367446011</c:v>
                </c:pt>
                <c:pt idx="11">
                  <c:v>62.40079247248002</c:v>
                </c:pt>
                <c:pt idx="12">
                  <c:v>37.887969593309208</c:v>
                </c:pt>
                <c:pt idx="13">
                  <c:v>94.284371595730818</c:v>
                </c:pt>
                <c:pt idx="14">
                  <c:v>-42.778107162893747</c:v>
                </c:pt>
                <c:pt idx="15">
                  <c:v>-102.75830537643424</c:v>
                </c:pt>
                <c:pt idx="16">
                  <c:v>-57.138493354597415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F1-4221-8660-D7ED1F5473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6653152"/>
        <c:axId val="1948183072"/>
      </c:lineChart>
      <c:catAx>
        <c:axId val="286653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>
            <a:outerShdw blurRad="50800" dist="12700" dir="5400000" algn="ctr" rotWithShape="0">
              <a:srgbClr val="000000">
                <a:alpha val="43137"/>
              </a:srgbClr>
            </a:outerShdw>
          </a:effectLst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8183072"/>
        <c:crosses val="autoZero"/>
        <c:auto val="1"/>
        <c:lblAlgn val="ctr"/>
        <c:lblOffset val="100"/>
        <c:noMultiLvlLbl val="0"/>
      </c:catAx>
      <c:valAx>
        <c:axId val="1948183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A"/>
                  <a:t>Valeur résiduelle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86653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Méthode_linéaire!$A$4:$A$20</c:f>
            </c:numRef>
          </c:xVal>
          <c:yVal>
            <c:numRef>
              <c:f>Méthode_linéaire!$H$4:$H$20</c:f>
            </c:numRef>
          </c:yVal>
          <c:smooth val="0"/>
          <c:extLst>
            <c:ext xmlns:c16="http://schemas.microsoft.com/office/drawing/2014/chart" uri="{C3380CC4-5D6E-409C-BE32-E72D297353CC}">
              <c16:uniqueId val="{00000000-CEB3-4FD5-8FFC-B2A7465F3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4595232"/>
        <c:axId val="1872550672"/>
      </c:scatterChart>
      <c:valAx>
        <c:axId val="1864595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72550672"/>
        <c:crosses val="autoZero"/>
        <c:crossBetween val="midCat"/>
      </c:valAx>
      <c:valAx>
        <c:axId val="1872550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645952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1050606</xdr:colOff>
      <xdr:row>35</xdr:row>
      <xdr:rowOff>33337</xdr:rowOff>
    </xdr:from>
    <xdr:to>
      <xdr:col>12</xdr:col>
      <xdr:colOff>295274</xdr:colOff>
      <xdr:row>58</xdr:row>
      <xdr:rowOff>0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114300</xdr:colOff>
      <xdr:row>64</xdr:row>
      <xdr:rowOff>85725</xdr:rowOff>
    </xdr:from>
    <xdr:to>
      <xdr:col>2</xdr:col>
      <xdr:colOff>220599</xdr:colOff>
      <xdr:row>69</xdr:row>
      <xdr:rowOff>102489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2839700"/>
          <a:ext cx="2249424" cy="9692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392430</xdr:colOff>
      <xdr:row>31</xdr:row>
      <xdr:rowOff>98107</xdr:rowOff>
    </xdr:from>
    <xdr:to>
      <xdr:col>7</xdr:col>
      <xdr:colOff>217170</xdr:colOff>
      <xdr:row>46</xdr:row>
      <xdr:rowOff>120967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tabSelected="1" zoomScaleNormal="100" workbookViewId="0">
      <selection activeCell="A40" sqref="A40"/>
    </sheetView>
  </sheetViews>
  <sheetFormatPr baseColWidth="10" defaultRowHeight="15" x14ac:dyDescent="0.25"/>
  <cols>
    <col min="1" max="1" width="23.28515625" customWidth="1"/>
    <col min="2" max="2" width="8.85546875" customWidth="1"/>
    <col min="3" max="3" width="11.7109375" customWidth="1"/>
    <col min="4" max="4" width="9.85546875" customWidth="1"/>
    <col min="5" max="5" width="13.5703125" customWidth="1"/>
    <col min="6" max="8" width="9.85546875" customWidth="1"/>
    <col min="9" max="9" width="1.7109375" customWidth="1"/>
    <col min="10" max="10" width="11.7109375" customWidth="1"/>
    <col min="11" max="11" width="14" customWidth="1"/>
    <col min="12" max="12" width="13.28515625" customWidth="1"/>
    <col min="13" max="14" width="11.7109375" customWidth="1"/>
  </cols>
  <sheetData>
    <row r="1" spans="1:14" ht="23.25" x14ac:dyDescent="0.35">
      <c r="A1" s="55" t="s">
        <v>45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 x14ac:dyDescent="0.2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14" ht="15" customHeight="1" x14ac:dyDescent="0.25">
      <c r="A3" s="43" t="s">
        <v>48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14" x14ac:dyDescent="0.25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</row>
    <row r="5" spans="1:14" ht="31.9" customHeight="1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</row>
    <row r="6" spans="1:14" x14ac:dyDescent="0.25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</row>
    <row r="7" spans="1:14" ht="34.5" customHeight="1" x14ac:dyDescent="0.25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</row>
    <row r="8" spans="1:14" ht="15.75" thickBot="1" x14ac:dyDescent="0.3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</row>
    <row r="9" spans="1:14" x14ac:dyDescent="0.25">
      <c r="A9" s="5" t="s">
        <v>6</v>
      </c>
      <c r="B9" s="6"/>
      <c r="C9" s="7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</row>
    <row r="10" spans="1:14" x14ac:dyDescent="0.25">
      <c r="A10" s="8" t="s">
        <v>7</v>
      </c>
      <c r="B10" s="47" t="s">
        <v>13</v>
      </c>
      <c r="C10" s="48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</row>
    <row r="11" spans="1:14" ht="15.75" thickBot="1" x14ac:dyDescent="0.3">
      <c r="A11" s="9" t="s">
        <v>8</v>
      </c>
      <c r="B11" s="49" t="s">
        <v>14</v>
      </c>
      <c r="C11" s="50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</row>
    <row r="12" spans="1:14" x14ac:dyDescent="0.25">
      <c r="A12" s="57"/>
      <c r="B12" s="58"/>
      <c r="C12" s="10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</row>
    <row r="13" spans="1:14" ht="15" customHeight="1" x14ac:dyDescent="0.25">
      <c r="A13" s="56"/>
      <c r="B13" s="56"/>
      <c r="C13" s="44" t="s">
        <v>4</v>
      </c>
      <c r="D13" s="45"/>
      <c r="E13" s="45"/>
      <c r="F13" s="45"/>
      <c r="G13" s="45"/>
      <c r="H13" s="46"/>
      <c r="I13" s="56"/>
      <c r="J13" s="56"/>
      <c r="K13" s="56"/>
      <c r="L13" s="56"/>
      <c r="M13" s="51" t="s">
        <v>37</v>
      </c>
      <c r="N13" s="52"/>
    </row>
    <row r="14" spans="1:14" ht="45" x14ac:dyDescent="0.25">
      <c r="A14" s="35" t="s">
        <v>9</v>
      </c>
      <c r="B14" s="31" t="s">
        <v>27</v>
      </c>
      <c r="C14" s="31" t="s">
        <v>0</v>
      </c>
      <c r="D14" s="31" t="s">
        <v>1</v>
      </c>
      <c r="E14" s="31" t="s">
        <v>28</v>
      </c>
      <c r="F14" s="15" t="s">
        <v>29</v>
      </c>
      <c r="G14" s="15" t="s">
        <v>30</v>
      </c>
      <c r="H14" s="14" t="s">
        <v>40</v>
      </c>
      <c r="I14" s="21"/>
      <c r="J14" s="15" t="s">
        <v>41</v>
      </c>
      <c r="K14" s="15" t="s">
        <v>42</v>
      </c>
      <c r="L14" s="15" t="s">
        <v>43</v>
      </c>
      <c r="M14" s="15" t="s">
        <v>35</v>
      </c>
      <c r="N14" s="15" t="s">
        <v>36</v>
      </c>
    </row>
    <row r="15" spans="1:14" x14ac:dyDescent="0.25">
      <c r="A15" s="32" t="s">
        <v>10</v>
      </c>
      <c r="B15" s="36">
        <v>1</v>
      </c>
      <c r="C15" s="39">
        <v>2.0299999999999998</v>
      </c>
      <c r="D15" s="39">
        <v>12.6</v>
      </c>
      <c r="E15" s="39">
        <v>43.54</v>
      </c>
      <c r="F15" s="16">
        <f t="shared" ref="F15:F31" si="0">E15/100*D15</f>
        <v>5.48604</v>
      </c>
      <c r="G15" s="16">
        <f t="shared" ref="G15:G31" si="1">D15-F15</f>
        <v>7.1139599999999996</v>
      </c>
      <c r="H15" s="24">
        <v>330</v>
      </c>
      <c r="I15" s="22"/>
      <c r="J15" s="16">
        <f>Méthode_Petersen!E3</f>
        <v>274.23971447709289</v>
      </c>
      <c r="K15" s="16">
        <f>Méthode_linéaire!G4</f>
        <v>289.80830447047725</v>
      </c>
      <c r="L15" s="16">
        <f>Méthode_linéaire!I4</f>
        <v>290.91632060834013</v>
      </c>
      <c r="M15" s="16">
        <f t="shared" ref="M15:M31" si="2">H15-J15</f>
        <v>55.760285522907111</v>
      </c>
      <c r="N15" s="16">
        <f>H15-K15</f>
        <v>40.191695529522747</v>
      </c>
    </row>
    <row r="16" spans="1:14" x14ac:dyDescent="0.25">
      <c r="A16" s="33" t="s">
        <v>11</v>
      </c>
      <c r="B16" s="37">
        <v>2</v>
      </c>
      <c r="C16" s="40">
        <v>2.06</v>
      </c>
      <c r="D16" s="40">
        <v>12.8</v>
      </c>
      <c r="E16" s="40">
        <v>49.17</v>
      </c>
      <c r="F16" s="17">
        <f t="shared" si="0"/>
        <v>6.2937600000000007</v>
      </c>
      <c r="G16" s="17">
        <f t="shared" si="1"/>
        <v>6.50624</v>
      </c>
      <c r="H16" s="25">
        <v>225</v>
      </c>
      <c r="I16" s="22"/>
      <c r="J16" s="17">
        <f>Méthode_Petersen!E4</f>
        <v>278.4197280979987</v>
      </c>
      <c r="K16" s="17">
        <f>Méthode_linéaire!G5</f>
        <v>294.02583737623343</v>
      </c>
      <c r="L16" s="17">
        <f>Méthode_linéaire!I5</f>
        <v>295.35676395555481</v>
      </c>
      <c r="M16" s="17">
        <f t="shared" si="2"/>
        <v>-53.4197280979987</v>
      </c>
      <c r="N16" s="17">
        <f t="shared" ref="N16:N32" si="3">H16-K16</f>
        <v>-69.025837376233426</v>
      </c>
    </row>
    <row r="17" spans="1:14" x14ac:dyDescent="0.25">
      <c r="A17" s="33" t="s">
        <v>12</v>
      </c>
      <c r="B17" s="37">
        <v>3</v>
      </c>
      <c r="C17" s="40">
        <v>2.15</v>
      </c>
      <c r="D17" s="40">
        <v>13.79</v>
      </c>
      <c r="E17" s="40">
        <v>64.22</v>
      </c>
      <c r="F17" s="17">
        <f t="shared" si="0"/>
        <v>8.8559380000000001</v>
      </c>
      <c r="G17" s="17">
        <f t="shared" si="1"/>
        <v>4.9340619999999991</v>
      </c>
      <c r="H17" s="25">
        <v>301</v>
      </c>
      <c r="I17" s="22"/>
      <c r="J17" s="17">
        <f>Méthode_Petersen!E5</f>
        <v>294.55663054246878</v>
      </c>
      <c r="K17" s="17">
        <f>Méthode_linéaire!G6</f>
        <v>310.69806017428004</v>
      </c>
      <c r="L17" s="17">
        <f>Méthode_linéaire!I6</f>
        <v>312.67016709978134</v>
      </c>
      <c r="M17" s="17">
        <f t="shared" si="2"/>
        <v>6.4433694575312188</v>
      </c>
      <c r="N17" s="17">
        <f t="shared" si="3"/>
        <v>-9.6980601742800445</v>
      </c>
    </row>
    <row r="18" spans="1:14" x14ac:dyDescent="0.25">
      <c r="A18" s="33" t="s">
        <v>13</v>
      </c>
      <c r="B18" s="37">
        <v>4</v>
      </c>
      <c r="C18" s="40">
        <v>2.17</v>
      </c>
      <c r="D18" s="40">
        <v>8.7899999999999991</v>
      </c>
      <c r="E18" s="40">
        <v>34.6</v>
      </c>
      <c r="F18" s="17">
        <f t="shared" si="0"/>
        <v>3.0413399999999999</v>
      </c>
      <c r="G18" s="17">
        <f t="shared" si="1"/>
        <v>5.7486599999999992</v>
      </c>
      <c r="H18" s="25">
        <v>250</v>
      </c>
      <c r="I18" s="22"/>
      <c r="J18" s="17">
        <f>Méthode_Petersen!E6</f>
        <v>249.99999999999994</v>
      </c>
      <c r="K18" s="17">
        <f>Méthode_linéaire!G7</f>
        <v>261.90239841285569</v>
      </c>
      <c r="L18" s="17">
        <f>Méthode_linéaire!I7</f>
        <v>263.08522695538693</v>
      </c>
      <c r="M18" s="29">
        <f t="shared" si="2"/>
        <v>0</v>
      </c>
      <c r="N18" s="17">
        <f t="shared" si="3"/>
        <v>-11.902398412855689</v>
      </c>
    </row>
    <row r="19" spans="1:14" x14ac:dyDescent="0.25">
      <c r="A19" s="33" t="s">
        <v>14</v>
      </c>
      <c r="B19" s="37">
        <v>5</v>
      </c>
      <c r="C19" s="40">
        <v>1.92</v>
      </c>
      <c r="D19" s="40">
        <v>48.85</v>
      </c>
      <c r="E19" s="40">
        <v>60</v>
      </c>
      <c r="F19" s="17">
        <f t="shared" si="0"/>
        <v>29.31</v>
      </c>
      <c r="G19" s="17">
        <f t="shared" si="1"/>
        <v>19.540000000000003</v>
      </c>
      <c r="H19" s="25">
        <v>600</v>
      </c>
      <c r="I19" s="22"/>
      <c r="J19" s="17">
        <f>Méthode_Petersen!E7</f>
        <v>600</v>
      </c>
      <c r="K19" s="17">
        <f>Méthode_linéaire!G8</f>
        <v>651.61017860633956</v>
      </c>
      <c r="L19" s="17">
        <f>Méthode_linéaire!I8</f>
        <v>653.19923408865316</v>
      </c>
      <c r="M19" s="29">
        <f t="shared" si="2"/>
        <v>0</v>
      </c>
      <c r="N19" s="17">
        <f t="shared" si="3"/>
        <v>-51.610178606339559</v>
      </c>
    </row>
    <row r="20" spans="1:14" x14ac:dyDescent="0.25">
      <c r="A20" s="33" t="s">
        <v>15</v>
      </c>
      <c r="B20" s="37">
        <v>6</v>
      </c>
      <c r="C20" s="40">
        <v>1.67</v>
      </c>
      <c r="D20" s="40">
        <v>40.86</v>
      </c>
      <c r="E20" s="40">
        <v>57.46</v>
      </c>
      <c r="F20" s="17">
        <f t="shared" si="0"/>
        <v>23.478155999999998</v>
      </c>
      <c r="G20" s="17">
        <f t="shared" si="1"/>
        <v>17.381844000000001</v>
      </c>
      <c r="H20" s="25">
        <v>531</v>
      </c>
      <c r="I20" s="22"/>
      <c r="J20" s="17">
        <f>Méthode_Petersen!E8</f>
        <v>506.84820768403085</v>
      </c>
      <c r="K20" s="17">
        <f>Méthode_linéaire!G9</f>
        <v>550.38460398498785</v>
      </c>
      <c r="L20" s="17">
        <f>Méthode_linéaire!I9</f>
        <v>551.46936281401076</v>
      </c>
      <c r="M20" s="17">
        <f t="shared" si="2"/>
        <v>24.151792315969146</v>
      </c>
      <c r="N20" s="17">
        <f t="shared" si="3"/>
        <v>-19.384603984987848</v>
      </c>
    </row>
    <row r="21" spans="1:14" x14ac:dyDescent="0.25">
      <c r="A21" s="33" t="s">
        <v>16</v>
      </c>
      <c r="B21" s="37">
        <v>7</v>
      </c>
      <c r="C21" s="40">
        <v>2.17</v>
      </c>
      <c r="D21" s="40">
        <v>68.209999999999994</v>
      </c>
      <c r="E21" s="40">
        <v>29.99</v>
      </c>
      <c r="F21" s="17">
        <f t="shared" si="0"/>
        <v>20.456178999999999</v>
      </c>
      <c r="G21" s="17">
        <f t="shared" si="1"/>
        <v>47.753820999999995</v>
      </c>
      <c r="H21" s="25">
        <v>850</v>
      </c>
      <c r="I21" s="22"/>
      <c r="J21" s="17">
        <f>Méthode_Petersen!E9</f>
        <v>798.01414150707342</v>
      </c>
      <c r="K21" s="17">
        <f>Méthode_linéaire!G10</f>
        <v>875.41093709313122</v>
      </c>
      <c r="L21" s="17">
        <f>Méthode_linéaire!I10</f>
        <v>871.31339043089008</v>
      </c>
      <c r="M21" s="17">
        <f t="shared" si="2"/>
        <v>51.985858492926582</v>
      </c>
      <c r="N21" s="17">
        <f t="shared" si="3"/>
        <v>-25.410937093131224</v>
      </c>
    </row>
    <row r="22" spans="1:14" x14ac:dyDescent="0.25">
      <c r="A22" s="33" t="s">
        <v>17</v>
      </c>
      <c r="B22" s="37">
        <v>8</v>
      </c>
      <c r="C22" s="40">
        <v>2.21</v>
      </c>
      <c r="D22" s="40">
        <v>30.8</v>
      </c>
      <c r="E22" s="40">
        <v>32</v>
      </c>
      <c r="F22" s="17">
        <f t="shared" si="0"/>
        <v>9.8559999999999999</v>
      </c>
      <c r="G22" s="17">
        <f t="shared" si="1"/>
        <v>20.944000000000003</v>
      </c>
      <c r="H22" s="25">
        <v>472</v>
      </c>
      <c r="I22" s="22"/>
      <c r="J22" s="17">
        <f>Méthode_Petersen!E10</f>
        <v>456.10607027893684</v>
      </c>
      <c r="K22" s="17">
        <f>Méthode_linéaire!G11</f>
        <v>492.20713829919293</v>
      </c>
      <c r="L22" s="17">
        <f>Méthode_linéaire!I11</f>
        <v>491.57242362470743</v>
      </c>
      <c r="M22" s="17">
        <f t="shared" si="2"/>
        <v>15.893929721063159</v>
      </c>
      <c r="N22" s="17">
        <f t="shared" si="3"/>
        <v>-20.207138299192934</v>
      </c>
    </row>
    <row r="23" spans="1:14" x14ac:dyDescent="0.25">
      <c r="A23" s="33" t="s">
        <v>18</v>
      </c>
      <c r="B23" s="37">
        <v>9</v>
      </c>
      <c r="C23" s="41">
        <v>1.7</v>
      </c>
      <c r="D23" s="40">
        <v>25</v>
      </c>
      <c r="E23" s="40">
        <v>40.31</v>
      </c>
      <c r="F23" s="17">
        <f t="shared" si="0"/>
        <v>10.077500000000001</v>
      </c>
      <c r="G23" s="17">
        <f t="shared" si="1"/>
        <v>14.922499999999999</v>
      </c>
      <c r="H23" s="25">
        <v>450</v>
      </c>
      <c r="I23" s="22"/>
      <c r="J23" s="17">
        <f>Méthode_Petersen!E11</f>
        <v>362.91130591275208</v>
      </c>
      <c r="K23" s="17">
        <f>Méthode_linéaire!G12</f>
        <v>391.51529302280517</v>
      </c>
      <c r="L23" s="17">
        <f>Méthode_linéaire!I12</f>
        <v>391.51828301385797</v>
      </c>
      <c r="M23" s="17">
        <f t="shared" si="2"/>
        <v>87.088694087247916</v>
      </c>
      <c r="N23" s="17">
        <f t="shared" si="3"/>
        <v>58.484706977194833</v>
      </c>
    </row>
    <row r="24" spans="1:14" x14ac:dyDescent="0.25">
      <c r="A24" s="33" t="s">
        <v>19</v>
      </c>
      <c r="B24" s="37">
        <v>10</v>
      </c>
      <c r="C24" s="40">
        <v>1.92</v>
      </c>
      <c r="D24" s="40">
        <v>40.5</v>
      </c>
      <c r="E24" s="40">
        <v>56.32</v>
      </c>
      <c r="F24" s="17">
        <f t="shared" si="0"/>
        <v>22.8096</v>
      </c>
      <c r="G24" s="17">
        <f t="shared" si="1"/>
        <v>17.6904</v>
      </c>
      <c r="H24" s="25">
        <v>700</v>
      </c>
      <c r="I24" s="22"/>
      <c r="J24" s="17">
        <f>Méthode_Petersen!E12</f>
        <v>522.99027126246938</v>
      </c>
      <c r="K24" s="17">
        <f>Méthode_linéaire!G13</f>
        <v>566.56220745122505</v>
      </c>
      <c r="L24" s="17">
        <f>Méthode_linéaire!I13</f>
        <v>567.72792535387612</v>
      </c>
      <c r="M24" s="17">
        <f t="shared" si="2"/>
        <v>177.00972873753062</v>
      </c>
      <c r="N24" s="17">
        <f t="shared" si="3"/>
        <v>133.43779254877495</v>
      </c>
    </row>
    <row r="25" spans="1:14" x14ac:dyDescent="0.25">
      <c r="A25" s="33" t="s">
        <v>20</v>
      </c>
      <c r="B25" s="37">
        <v>11</v>
      </c>
      <c r="C25" s="40">
        <v>1.94</v>
      </c>
      <c r="D25" s="40">
        <v>22.6</v>
      </c>
      <c r="E25" s="40">
        <v>63.69</v>
      </c>
      <c r="F25" s="17">
        <f t="shared" si="0"/>
        <v>14.393940000000001</v>
      </c>
      <c r="G25" s="17">
        <f t="shared" si="1"/>
        <v>8.2060600000000008</v>
      </c>
      <c r="H25" s="25">
        <v>350</v>
      </c>
      <c r="I25" s="22"/>
      <c r="J25" s="17">
        <f>Méthode_Petersen!E13</f>
        <v>359.46052686201926</v>
      </c>
      <c r="K25" s="17">
        <f>Méthode_linéaire!G14</f>
        <v>384.23551036744601</v>
      </c>
      <c r="L25" s="17">
        <f>Méthode_linéaire!I14</f>
        <v>386.09749027790997</v>
      </c>
      <c r="M25" s="17">
        <f t="shared" si="2"/>
        <v>-9.4605268620192646</v>
      </c>
      <c r="N25" s="17">
        <f t="shared" si="3"/>
        <v>-34.235510367446011</v>
      </c>
    </row>
    <row r="26" spans="1:14" x14ac:dyDescent="0.25">
      <c r="A26" s="33" t="s">
        <v>21</v>
      </c>
      <c r="B26" s="37">
        <v>12</v>
      </c>
      <c r="C26" s="40">
        <v>1.4</v>
      </c>
      <c r="D26" s="40">
        <v>12.37</v>
      </c>
      <c r="E26" s="40">
        <v>46.84</v>
      </c>
      <c r="F26" s="17">
        <f t="shared" si="0"/>
        <v>5.7941080000000005</v>
      </c>
      <c r="G26" s="17">
        <f t="shared" si="1"/>
        <v>6.5758919999999987</v>
      </c>
      <c r="H26" s="25">
        <v>300</v>
      </c>
      <c r="I26" s="22"/>
      <c r="J26" s="17">
        <f>Méthode_Petersen!E14</f>
        <v>223.07363479591638</v>
      </c>
      <c r="K26" s="17">
        <f>Méthode_linéaire!G15</f>
        <v>237.59920752751998</v>
      </c>
      <c r="L26" s="17">
        <f>Méthode_linéaire!I15</f>
        <v>238.30426728414434</v>
      </c>
      <c r="M26" s="17">
        <f t="shared" si="2"/>
        <v>76.926365204083623</v>
      </c>
      <c r="N26" s="17">
        <f t="shared" si="3"/>
        <v>62.40079247248002</v>
      </c>
    </row>
    <row r="27" spans="1:14" x14ac:dyDescent="0.25">
      <c r="A27" s="33" t="s">
        <v>22</v>
      </c>
      <c r="B27" s="37">
        <v>13</v>
      </c>
      <c r="C27" s="40">
        <v>1.69</v>
      </c>
      <c r="D27" s="40">
        <v>17.48</v>
      </c>
      <c r="E27" s="40">
        <v>64.349999999999994</v>
      </c>
      <c r="F27" s="17">
        <f t="shared" si="0"/>
        <v>11.248379999999999</v>
      </c>
      <c r="G27" s="17">
        <f t="shared" si="1"/>
        <v>6.2316200000000013</v>
      </c>
      <c r="H27" s="25">
        <v>350</v>
      </c>
      <c r="I27" s="22"/>
      <c r="J27" s="17">
        <f>Méthode_Petersen!E15</f>
        <v>292.7779466989499</v>
      </c>
      <c r="K27" s="17">
        <f>Méthode_linéaire!G16</f>
        <v>312.11203040669079</v>
      </c>
      <c r="L27" s="17">
        <f>Méthode_linéaire!I16</f>
        <v>313.74518260432268</v>
      </c>
      <c r="M27" s="17">
        <f t="shared" si="2"/>
        <v>57.222053301050096</v>
      </c>
      <c r="N27" s="17">
        <f t="shared" si="3"/>
        <v>37.887969593309208</v>
      </c>
    </row>
    <row r="28" spans="1:14" x14ac:dyDescent="0.25">
      <c r="A28" s="33" t="s">
        <v>23</v>
      </c>
      <c r="B28" s="37">
        <v>14</v>
      </c>
      <c r="C28" s="40">
        <v>2.1800000000000002</v>
      </c>
      <c r="D28" s="40">
        <v>17.940000000000001</v>
      </c>
      <c r="E28" s="40">
        <v>60</v>
      </c>
      <c r="F28" s="17">
        <f t="shared" si="0"/>
        <v>10.764000000000001</v>
      </c>
      <c r="G28" s="17">
        <f t="shared" si="1"/>
        <v>7.1760000000000002</v>
      </c>
      <c r="H28" s="25">
        <v>450</v>
      </c>
      <c r="I28" s="22"/>
      <c r="J28" s="17">
        <f>Méthode_Petersen!E16</f>
        <v>335.16639608112848</v>
      </c>
      <c r="K28" s="17">
        <f>Méthode_linéaire!G17</f>
        <v>355.71562840426918</v>
      </c>
      <c r="L28" s="17">
        <f>Méthode_linéaire!I17</f>
        <v>357.54314571674092</v>
      </c>
      <c r="M28" s="17">
        <f t="shared" si="2"/>
        <v>114.83360391887152</v>
      </c>
      <c r="N28" s="17">
        <f t="shared" si="3"/>
        <v>94.284371595730818</v>
      </c>
    </row>
    <row r="29" spans="1:14" x14ac:dyDescent="0.25">
      <c r="A29" s="33" t="s">
        <v>24</v>
      </c>
      <c r="B29" s="37">
        <v>15</v>
      </c>
      <c r="C29" s="40">
        <v>1.1399999999999999</v>
      </c>
      <c r="D29" s="40">
        <v>13.48</v>
      </c>
      <c r="E29" s="40">
        <v>65</v>
      </c>
      <c r="F29" s="17">
        <f t="shared" si="0"/>
        <v>8.7620000000000005</v>
      </c>
      <c r="G29" s="17">
        <f t="shared" si="1"/>
        <v>4.718</v>
      </c>
      <c r="H29" s="25">
        <v>185</v>
      </c>
      <c r="I29" s="22"/>
      <c r="J29" s="17">
        <f>Méthode_Petersen!E17</f>
        <v>213.07012298084655</v>
      </c>
      <c r="K29" s="17">
        <f>Méthode_linéaire!G18</f>
        <v>227.77810716289375</v>
      </c>
      <c r="L29" s="17">
        <f>Méthode_linéaire!I18</f>
        <v>228.9250262792475</v>
      </c>
      <c r="M29" s="17">
        <f t="shared" si="2"/>
        <v>-28.070122980846548</v>
      </c>
      <c r="N29" s="17">
        <f t="shared" si="3"/>
        <v>-42.778107162893747</v>
      </c>
    </row>
    <row r="30" spans="1:14" x14ac:dyDescent="0.25">
      <c r="A30" s="33" t="s">
        <v>25</v>
      </c>
      <c r="B30" s="37">
        <v>16</v>
      </c>
      <c r="C30" s="40">
        <v>1.4</v>
      </c>
      <c r="D30" s="40">
        <v>17.34</v>
      </c>
      <c r="E30" s="40">
        <v>65</v>
      </c>
      <c r="F30" s="17">
        <f t="shared" si="0"/>
        <v>11.271000000000001</v>
      </c>
      <c r="G30" s="17">
        <f t="shared" si="1"/>
        <v>6.0689999999999991</v>
      </c>
      <c r="H30" s="25">
        <v>185</v>
      </c>
      <c r="I30" s="22"/>
      <c r="J30" s="17">
        <f>Méthode_Petersen!E18</f>
        <v>268.91056315825494</v>
      </c>
      <c r="K30" s="17">
        <f>Méthode_linéaire!G19</f>
        <v>287.75830537643424</v>
      </c>
      <c r="L30" s="17">
        <f>Méthode_linéaire!I19</f>
        <v>289.17760912987393</v>
      </c>
      <c r="M30" s="17">
        <f t="shared" si="2"/>
        <v>-83.910563158254945</v>
      </c>
      <c r="N30" s="17">
        <f t="shared" si="3"/>
        <v>-102.75830537643424</v>
      </c>
    </row>
    <row r="31" spans="1:14" x14ac:dyDescent="0.25">
      <c r="A31" s="34" t="s">
        <v>26</v>
      </c>
      <c r="B31" s="38">
        <v>17</v>
      </c>
      <c r="C31" s="42">
        <v>1.56</v>
      </c>
      <c r="D31" s="42">
        <v>8.24</v>
      </c>
      <c r="E31" s="42">
        <v>74.52</v>
      </c>
      <c r="F31" s="17">
        <f t="shared" si="0"/>
        <v>6.1404480000000001</v>
      </c>
      <c r="G31" s="17">
        <f t="shared" si="1"/>
        <v>2.0995520000000001</v>
      </c>
      <c r="H31" s="25">
        <v>150</v>
      </c>
      <c r="I31" s="22"/>
      <c r="J31" s="17">
        <f>Méthode_Petersen!E19</f>
        <v>197.43962875738964</v>
      </c>
      <c r="K31" s="17">
        <f>Méthode_linéaire!G20</f>
        <v>207.13849335459741</v>
      </c>
      <c r="L31" s="17">
        <f>Méthode_linéaire!I20</f>
        <v>208.79311071778554</v>
      </c>
      <c r="M31" s="17">
        <f t="shared" si="2"/>
        <v>-47.439628757389642</v>
      </c>
      <c r="N31" s="17">
        <f t="shared" si="3"/>
        <v>-57.138493354597415</v>
      </c>
    </row>
    <row r="32" spans="1:14" x14ac:dyDescent="0.25">
      <c r="A32" s="27" t="s">
        <v>44</v>
      </c>
      <c r="B32" s="28"/>
      <c r="C32" s="27">
        <v>2.17</v>
      </c>
      <c r="D32" s="27">
        <v>8.7899999999999991</v>
      </c>
      <c r="E32" s="27">
        <v>34.6</v>
      </c>
      <c r="F32" s="18">
        <f>E32/100*D32</f>
        <v>3.0413399999999999</v>
      </c>
      <c r="G32" s="18">
        <f t="shared" ref="G32" si="4">D32-F32</f>
        <v>5.7486599999999992</v>
      </c>
      <c r="H32" s="26">
        <v>250</v>
      </c>
      <c r="I32" s="23"/>
      <c r="J32" s="18">
        <f>Méthode_Petersen!E20</f>
        <v>249.99999999999994</v>
      </c>
      <c r="K32" s="18">
        <f>Méthode_linéaire!G21</f>
        <v>261.90239841285569</v>
      </c>
      <c r="L32" s="18">
        <f>Méthode_linéaire!I21</f>
        <v>263.08522695538693</v>
      </c>
      <c r="M32" s="30">
        <f>H32-J32</f>
        <v>0</v>
      </c>
      <c r="N32" s="18">
        <f t="shared" si="3"/>
        <v>-11.902398412855689</v>
      </c>
    </row>
    <row r="33" spans="1:14" x14ac:dyDescent="0.25">
      <c r="A33" s="56"/>
      <c r="B33" s="56"/>
      <c r="C33" s="56" t="s">
        <v>33</v>
      </c>
      <c r="D33" s="56"/>
      <c r="E33" s="56"/>
      <c r="F33" s="56"/>
      <c r="G33" s="56"/>
      <c r="H33" s="56"/>
      <c r="I33" s="56"/>
      <c r="J33" s="56"/>
      <c r="K33" s="56"/>
      <c r="L33" s="56"/>
      <c r="M33" s="20" t="s">
        <v>34</v>
      </c>
      <c r="N33" s="20"/>
    </row>
    <row r="34" spans="1:14" x14ac:dyDescent="0.25">
      <c r="A34" s="56"/>
      <c r="B34" s="56"/>
      <c r="C34" s="56" t="s">
        <v>5</v>
      </c>
      <c r="D34" s="56"/>
      <c r="E34" s="56"/>
      <c r="F34" s="56"/>
      <c r="G34" s="56"/>
      <c r="H34" s="56"/>
      <c r="I34" s="56"/>
      <c r="J34" s="56"/>
      <c r="K34" s="56"/>
      <c r="L34" s="56"/>
      <c r="M34" s="19" t="s">
        <v>38</v>
      </c>
      <c r="N34" s="19"/>
    </row>
    <row r="35" spans="1:14" x14ac:dyDescent="0.25">
      <c r="A35" s="56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63"/>
      <c r="N35" s="63"/>
    </row>
    <row r="36" spans="1:14" x14ac:dyDescent="0.25">
      <c r="A36" s="56"/>
      <c r="B36" s="56"/>
      <c r="C36" s="56"/>
      <c r="D36" s="59"/>
      <c r="E36" s="59"/>
      <c r="F36" s="59"/>
      <c r="G36" s="59"/>
      <c r="H36" s="59"/>
      <c r="I36" s="56"/>
      <c r="J36" s="59"/>
      <c r="K36" s="59"/>
      <c r="L36" s="56"/>
      <c r="M36" s="56"/>
      <c r="N36" s="56"/>
    </row>
    <row r="37" spans="1:14" x14ac:dyDescent="0.25">
      <c r="A37" s="56"/>
      <c r="B37" s="56"/>
      <c r="C37" s="56"/>
      <c r="D37" s="59"/>
      <c r="E37" s="59"/>
      <c r="F37" s="59"/>
      <c r="G37" s="59"/>
      <c r="H37" s="59"/>
      <c r="I37" s="56"/>
      <c r="J37" s="59"/>
      <c r="K37" s="59"/>
      <c r="L37" s="56"/>
      <c r="M37" s="56"/>
      <c r="N37" s="56"/>
    </row>
    <row r="38" spans="1:14" x14ac:dyDescent="0.25">
      <c r="A38" s="56"/>
      <c r="B38" s="56"/>
      <c r="C38" s="56"/>
      <c r="D38" s="59"/>
      <c r="E38" s="59"/>
      <c r="F38" s="59"/>
      <c r="G38" s="59"/>
      <c r="H38" s="59"/>
      <c r="I38" s="56"/>
      <c r="J38" s="59"/>
      <c r="K38" s="59"/>
      <c r="L38" s="56"/>
      <c r="M38" s="56"/>
      <c r="N38" s="56"/>
    </row>
    <row r="39" spans="1:14" x14ac:dyDescent="0.25">
      <c r="A39" s="56"/>
      <c r="B39" s="56"/>
      <c r="C39" s="56"/>
      <c r="D39" s="59"/>
      <c r="E39" s="59"/>
      <c r="F39" s="59"/>
      <c r="G39" s="59"/>
      <c r="H39" s="59"/>
      <c r="I39" s="56"/>
      <c r="J39" s="59"/>
      <c r="K39" s="59"/>
      <c r="L39" s="56"/>
      <c r="M39" s="56"/>
      <c r="N39" s="56"/>
    </row>
    <row r="40" spans="1:14" x14ac:dyDescent="0.25">
      <c r="A40" s="56"/>
      <c r="B40" s="56"/>
      <c r="C40" s="56"/>
      <c r="D40" s="59"/>
      <c r="E40" s="59"/>
      <c r="F40" s="59"/>
      <c r="G40" s="59"/>
      <c r="H40" s="59"/>
      <c r="I40" s="56"/>
      <c r="J40" s="59"/>
      <c r="K40" s="59"/>
      <c r="L40" s="56"/>
      <c r="M40" s="56"/>
      <c r="N40" s="56"/>
    </row>
    <row r="41" spans="1:14" x14ac:dyDescent="0.25">
      <c r="A41" s="56"/>
      <c r="B41" s="56"/>
      <c r="C41" s="56"/>
      <c r="D41" s="59"/>
      <c r="E41" s="59"/>
      <c r="F41" s="59"/>
      <c r="G41" s="59"/>
      <c r="H41" s="59"/>
      <c r="I41" s="56"/>
      <c r="J41" s="59"/>
      <c r="K41" s="59"/>
      <c r="L41" s="56"/>
      <c r="M41" s="56"/>
      <c r="N41" s="56"/>
    </row>
    <row r="42" spans="1:14" x14ac:dyDescent="0.25">
      <c r="A42" s="56"/>
      <c r="B42" s="56"/>
      <c r="C42" s="59"/>
      <c r="D42" s="59"/>
      <c r="E42" s="59"/>
      <c r="F42" s="59"/>
      <c r="G42" s="59"/>
      <c r="H42" s="59"/>
      <c r="I42" s="56"/>
      <c r="J42" s="59"/>
      <c r="K42" s="59"/>
      <c r="L42" s="56"/>
      <c r="M42" s="56"/>
      <c r="N42" s="56"/>
    </row>
    <row r="43" spans="1:14" x14ac:dyDescent="0.25">
      <c r="A43" s="56"/>
      <c r="B43" s="56"/>
      <c r="C43" s="59"/>
      <c r="D43" s="59"/>
      <c r="E43" s="59"/>
      <c r="F43" s="59"/>
      <c r="G43" s="59"/>
      <c r="H43" s="59"/>
      <c r="I43" s="56"/>
      <c r="J43" s="59"/>
      <c r="K43" s="59"/>
      <c r="L43" s="56"/>
      <c r="M43" s="56"/>
      <c r="N43" s="56"/>
    </row>
    <row r="44" spans="1:14" x14ac:dyDescent="0.25">
      <c r="A44" s="56"/>
      <c r="B44" s="56"/>
      <c r="C44" s="59"/>
      <c r="D44" s="59"/>
      <c r="E44" s="59"/>
      <c r="F44" s="59"/>
      <c r="G44" s="59"/>
      <c r="H44" s="59"/>
      <c r="I44" s="56"/>
      <c r="J44" s="59"/>
      <c r="K44" s="59"/>
      <c r="L44" s="56"/>
      <c r="M44" s="56"/>
      <c r="N44" s="56"/>
    </row>
    <row r="45" spans="1:14" x14ac:dyDescent="0.25">
      <c r="A45" s="56"/>
      <c r="B45" s="56"/>
      <c r="C45" s="59"/>
      <c r="D45" s="59"/>
      <c r="E45" s="59"/>
      <c r="F45" s="59"/>
      <c r="G45" s="59"/>
      <c r="H45" s="59"/>
      <c r="I45" s="56"/>
      <c r="J45" s="59"/>
      <c r="K45" s="59"/>
      <c r="L45" s="56"/>
      <c r="M45" s="56"/>
      <c r="N45" s="56"/>
    </row>
    <row r="46" spans="1:14" x14ac:dyDescent="0.25">
      <c r="A46" s="56"/>
      <c r="B46" s="56"/>
      <c r="C46" s="59"/>
      <c r="D46" s="59"/>
      <c r="E46" s="59"/>
      <c r="F46" s="59"/>
      <c r="G46" s="59"/>
      <c r="H46" s="59"/>
      <c r="I46" s="56"/>
      <c r="J46" s="59"/>
      <c r="K46" s="59"/>
      <c r="L46" s="56"/>
      <c r="M46" s="56"/>
      <c r="N46" s="56"/>
    </row>
    <row r="47" spans="1:14" x14ac:dyDescent="0.25">
      <c r="A47" s="56"/>
      <c r="B47" s="56"/>
      <c r="C47" s="59"/>
      <c r="D47" s="59"/>
      <c r="E47" s="59"/>
      <c r="F47" s="59"/>
      <c r="G47" s="59"/>
      <c r="H47" s="59"/>
      <c r="I47" s="56"/>
      <c r="J47" s="59"/>
      <c r="K47" s="59"/>
      <c r="L47" s="56"/>
      <c r="M47" s="56"/>
      <c r="N47" s="56"/>
    </row>
    <row r="48" spans="1:14" x14ac:dyDescent="0.25">
      <c r="A48" s="56"/>
      <c r="B48" s="56"/>
      <c r="C48" s="59"/>
      <c r="D48" s="59"/>
      <c r="E48" s="59"/>
      <c r="F48" s="59"/>
      <c r="G48" s="59"/>
      <c r="H48" s="59"/>
      <c r="I48" s="56"/>
      <c r="J48" s="59"/>
      <c r="K48" s="59"/>
      <c r="L48" s="56"/>
      <c r="M48" s="56"/>
      <c r="N48" s="56"/>
    </row>
    <row r="49" spans="1:14" x14ac:dyDescent="0.25">
      <c r="A49" s="56"/>
      <c r="B49" s="56"/>
      <c r="C49" s="59"/>
      <c r="D49" s="59"/>
      <c r="E49" s="59"/>
      <c r="F49" s="59"/>
      <c r="G49" s="59"/>
      <c r="H49" s="59"/>
      <c r="I49" s="56"/>
      <c r="J49" s="59"/>
      <c r="K49" s="59"/>
      <c r="L49" s="56"/>
      <c r="M49" s="56"/>
      <c r="N49" s="56"/>
    </row>
    <row r="50" spans="1:14" x14ac:dyDescent="0.25">
      <c r="A50" s="56"/>
      <c r="B50" s="56"/>
      <c r="C50" s="59"/>
      <c r="D50" s="59"/>
      <c r="E50" s="59"/>
      <c r="F50" s="59"/>
      <c r="G50" s="59"/>
      <c r="H50" s="59"/>
      <c r="I50" s="56"/>
      <c r="J50" s="59"/>
      <c r="K50" s="59"/>
      <c r="L50" s="56"/>
      <c r="M50" s="56"/>
      <c r="N50" s="56"/>
    </row>
    <row r="51" spans="1:14" x14ac:dyDescent="0.25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</row>
    <row r="52" spans="1:14" x14ac:dyDescent="0.25">
      <c r="A52" s="56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</row>
    <row r="53" spans="1:14" x14ac:dyDescent="0.25">
      <c r="A53" s="56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</row>
    <row r="54" spans="1:14" x14ac:dyDescent="0.25">
      <c r="A54" s="56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</row>
    <row r="55" spans="1:14" x14ac:dyDescent="0.25">
      <c r="A55" s="56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</row>
    <row r="56" spans="1:14" x14ac:dyDescent="0.25">
      <c r="A56" s="56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</row>
    <row r="57" spans="1:14" x14ac:dyDescent="0.25">
      <c r="A57" s="56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</row>
    <row r="58" spans="1:14" x14ac:dyDescent="0.25">
      <c r="A58" s="56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</row>
    <row r="59" spans="1:14" x14ac:dyDescent="0.25">
      <c r="A59" s="56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</row>
    <row r="60" spans="1:14" x14ac:dyDescent="0.25">
      <c r="A60" s="56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</row>
    <row r="61" spans="1:14" x14ac:dyDescent="0.25">
      <c r="A61" s="60" t="s">
        <v>47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</row>
    <row r="62" spans="1:14" x14ac:dyDescent="0.25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</row>
    <row r="63" spans="1:14" ht="15" customHeight="1" x14ac:dyDescent="0.25">
      <c r="A63" s="61" t="s">
        <v>46</v>
      </c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</row>
    <row r="64" spans="1:14" x14ac:dyDescent="0.25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</row>
    <row r="65" spans="1:14" x14ac:dyDescent="0.25">
      <c r="A65" s="62"/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</row>
    <row r="66" spans="1:14" x14ac:dyDescent="0.25">
      <c r="A66" s="62"/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</row>
    <row r="67" spans="1:14" x14ac:dyDescent="0.25">
      <c r="A67" s="56"/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</row>
    <row r="68" spans="1:14" x14ac:dyDescent="0.25">
      <c r="A68" s="56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</row>
    <row r="69" spans="1:14" x14ac:dyDescent="0.25">
      <c r="A69" s="56"/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</row>
    <row r="70" spans="1:14" x14ac:dyDescent="0.25">
      <c r="A70" s="56"/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</row>
    <row r="71" spans="1:14" x14ac:dyDescent="0.25">
      <c r="A71" s="56"/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</row>
    <row r="72" spans="1:14" x14ac:dyDescent="0.25">
      <c r="A72" s="56"/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</row>
  </sheetData>
  <sheetProtection password="E434" sheet="1" objects="1" scenarios="1"/>
  <mergeCells count="7">
    <mergeCell ref="A3:N7"/>
    <mergeCell ref="A61:N61"/>
    <mergeCell ref="A63:N64"/>
    <mergeCell ref="C13:H13"/>
    <mergeCell ref="B10:C10"/>
    <mergeCell ref="B11:C11"/>
    <mergeCell ref="M13:N13"/>
  </mergeCells>
  <conditionalFormatting sqref="M15:N32">
    <cfRule type="cellIs" dxfId="1" priority="1" operator="lessThan">
      <formula>0</formula>
    </cfRule>
    <cfRule type="cellIs" dxfId="0" priority="2" operator="greaterThan">
      <formula>0</formula>
    </cfRule>
  </conditionalFormatting>
  <dataValidations count="1">
    <dataValidation type="list" allowBlank="1" showInputMessage="1" showErrorMessage="1" sqref="B10:C12">
      <formula1>$A$15:$A$31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5" scale="88" orientation="landscape" r:id="rId1"/>
  <headerFooter>
    <oddFooter>&amp;LOutil de calcul de prix pour les aliments&amp;RPage &amp;P/&amp;N</oddFooter>
  </headerFooter>
  <rowBreaks count="1" manualBreakCount="1">
    <brk id="34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workbookViewId="0">
      <selection activeCell="A2" sqref="A2:XFD39"/>
    </sheetView>
  </sheetViews>
  <sheetFormatPr baseColWidth="10" defaultRowHeight="15" x14ac:dyDescent="0.25"/>
  <cols>
    <col min="1" max="1" width="22.140625" customWidth="1"/>
  </cols>
  <sheetData>
    <row r="1" spans="1:10" x14ac:dyDescent="0.25">
      <c r="A1" t="s">
        <v>39</v>
      </c>
    </row>
    <row r="2" spans="1:10" hidden="1" x14ac:dyDescent="0.25">
      <c r="A2" s="12" t="str">
        <f>Outil_de_calcul!A14</f>
        <v>Aliments</v>
      </c>
      <c r="B2" s="12" t="str">
        <f>Outil_de_calcul!C14</f>
        <v>NEM</v>
      </c>
      <c r="C2" s="12" t="str">
        <f>Outil_de_calcul!D14</f>
        <v>PB</v>
      </c>
      <c r="D2" s="12" t="str">
        <f>Méthode_linéaire!F3</f>
        <v>Prix réel
$</v>
      </c>
      <c r="E2" s="12"/>
    </row>
    <row r="3" spans="1:10" hidden="1" x14ac:dyDescent="0.25">
      <c r="A3" t="str">
        <f>Outil_de_calcul!A15</f>
        <v>Avoine</v>
      </c>
      <c r="B3">
        <f>Outil_de_calcul!C15</f>
        <v>2.0299999999999998</v>
      </c>
      <c r="C3">
        <f>Outil_de_calcul!D15</f>
        <v>12.6</v>
      </c>
      <c r="D3">
        <f>Méthode_linéaire!F4</f>
        <v>330</v>
      </c>
      <c r="E3" s="13">
        <f>B3*$D$28+$D$29*C3</f>
        <v>274.23971447709289</v>
      </c>
    </row>
    <row r="4" spans="1:10" hidden="1" x14ac:dyDescent="0.25">
      <c r="A4" t="str">
        <f>Outil_de_calcul!A16</f>
        <v>Orge</v>
      </c>
      <c r="B4">
        <f>Outil_de_calcul!C16</f>
        <v>2.06</v>
      </c>
      <c r="C4">
        <f>Outil_de_calcul!D16</f>
        <v>12.8</v>
      </c>
      <c r="D4">
        <f>Méthode_linéaire!F5</f>
        <v>225</v>
      </c>
      <c r="E4" s="13">
        <f t="shared" ref="E4:E19" si="0">B4*$D$28+$D$29*C4</f>
        <v>278.4197280979987</v>
      </c>
    </row>
    <row r="5" spans="1:10" hidden="1" x14ac:dyDescent="0.25">
      <c r="A5" t="str">
        <f>Outil_de_calcul!A17</f>
        <v>Blé</v>
      </c>
      <c r="B5">
        <f>Outil_de_calcul!C17</f>
        <v>2.15</v>
      </c>
      <c r="C5">
        <f>Outil_de_calcul!D17</f>
        <v>13.79</v>
      </c>
      <c r="D5">
        <f>Méthode_linéaire!F6</f>
        <v>301</v>
      </c>
      <c r="E5" s="13">
        <f t="shared" si="0"/>
        <v>294.55663054246878</v>
      </c>
    </row>
    <row r="6" spans="1:10" hidden="1" x14ac:dyDescent="0.25">
      <c r="A6" t="str">
        <f>Outil_de_calcul!A18</f>
        <v>Maïs</v>
      </c>
      <c r="B6" s="2">
        <f>Outil_de_calcul!C18</f>
        <v>2.17</v>
      </c>
      <c r="C6" s="2">
        <f>Outil_de_calcul!D18</f>
        <v>8.7899999999999991</v>
      </c>
      <c r="D6">
        <f>Méthode_linéaire!F7</f>
        <v>250</v>
      </c>
      <c r="E6" s="13">
        <f t="shared" si="0"/>
        <v>249.99999999999994</v>
      </c>
    </row>
    <row r="7" spans="1:10" hidden="1" x14ac:dyDescent="0.25">
      <c r="A7" t="str">
        <f>Outil_de_calcul!A19</f>
        <v>Tourteau de soya</v>
      </c>
      <c r="B7" s="2">
        <f>Outil_de_calcul!C19</f>
        <v>1.92</v>
      </c>
      <c r="C7" s="2">
        <f>Outil_de_calcul!D19</f>
        <v>48.85</v>
      </c>
      <c r="D7">
        <f>Méthode_linéaire!F8</f>
        <v>600</v>
      </c>
      <c r="E7" s="13">
        <f t="shared" si="0"/>
        <v>600</v>
      </c>
      <c r="F7">
        <f>D7/B7</f>
        <v>312.5</v>
      </c>
      <c r="G7">
        <f>C7/B7</f>
        <v>25.442708333333336</v>
      </c>
    </row>
    <row r="8" spans="1:10" hidden="1" x14ac:dyDescent="0.25">
      <c r="A8" t="str">
        <f>Outil_de_calcul!A20</f>
        <v>Tourteau de canola</v>
      </c>
      <c r="B8">
        <f>Outil_de_calcul!C20</f>
        <v>1.67</v>
      </c>
      <c r="C8">
        <f>Outil_de_calcul!D20</f>
        <v>40.86</v>
      </c>
      <c r="D8">
        <f>Méthode_linéaire!F9</f>
        <v>531</v>
      </c>
      <c r="E8" s="13">
        <f t="shared" si="0"/>
        <v>506.84820768403085</v>
      </c>
    </row>
    <row r="9" spans="1:10" hidden="1" x14ac:dyDescent="0.25">
      <c r="A9" t="str">
        <f>Outil_de_calcul!A21</f>
        <v>Fin gluten de maïs</v>
      </c>
      <c r="B9">
        <f>Outil_de_calcul!C21</f>
        <v>2.17</v>
      </c>
      <c r="C9">
        <f>Outil_de_calcul!D21</f>
        <v>68.209999999999994</v>
      </c>
      <c r="D9">
        <f>Méthode_linéaire!F10</f>
        <v>850</v>
      </c>
      <c r="E9" s="13">
        <f t="shared" si="0"/>
        <v>798.01414150707342</v>
      </c>
    </row>
    <row r="10" spans="1:10" hidden="1" x14ac:dyDescent="0.25">
      <c r="A10" t="str">
        <f>Outil_de_calcul!A22</f>
        <v>Drêche de distillerie sec</v>
      </c>
      <c r="B10">
        <f>Outil_de_calcul!C22</f>
        <v>2.21</v>
      </c>
      <c r="C10">
        <f>Outil_de_calcul!D22</f>
        <v>30.8</v>
      </c>
      <c r="D10">
        <f>Méthode_linéaire!F11</f>
        <v>472</v>
      </c>
      <c r="E10" s="13">
        <f t="shared" si="0"/>
        <v>456.10607027893684</v>
      </c>
    </row>
    <row r="11" spans="1:10" hidden="1" x14ac:dyDescent="0.25">
      <c r="A11" t="str">
        <f>Outil_de_calcul!A23</f>
        <v>Drêche de brasserie sec</v>
      </c>
      <c r="B11">
        <f>Outil_de_calcul!C23</f>
        <v>1.7</v>
      </c>
      <c r="C11">
        <f>Outil_de_calcul!D23</f>
        <v>25</v>
      </c>
      <c r="D11">
        <f>Méthode_linéaire!F12</f>
        <v>450</v>
      </c>
      <c r="E11" s="13">
        <f t="shared" si="0"/>
        <v>362.91130591275208</v>
      </c>
    </row>
    <row r="12" spans="1:10" hidden="1" x14ac:dyDescent="0.25">
      <c r="A12" t="str">
        <f>Outil_de_calcul!A24</f>
        <v>Soya torréfié</v>
      </c>
      <c r="B12">
        <f>Outil_de_calcul!C24</f>
        <v>1.92</v>
      </c>
      <c r="C12">
        <f>Outil_de_calcul!D24</f>
        <v>40.5</v>
      </c>
      <c r="D12">
        <f>Méthode_linéaire!F13</f>
        <v>700</v>
      </c>
      <c r="E12" s="13">
        <f t="shared" si="0"/>
        <v>522.99027126246938</v>
      </c>
      <c r="I12">
        <f>600/1.92</f>
        <v>312.5</v>
      </c>
      <c r="J12">
        <f>I12*2.17</f>
        <v>678.125</v>
      </c>
    </row>
    <row r="13" spans="1:10" hidden="1" x14ac:dyDescent="0.25">
      <c r="A13" t="str">
        <f>Outil_de_calcul!A25</f>
        <v>Gros gluten</v>
      </c>
      <c r="B13">
        <f>Outil_de_calcul!C25</f>
        <v>1.94</v>
      </c>
      <c r="C13">
        <f>Outil_de_calcul!D25</f>
        <v>22.6</v>
      </c>
      <c r="D13">
        <f>Méthode_linéaire!F14</f>
        <v>350</v>
      </c>
      <c r="E13" s="13">
        <f t="shared" si="0"/>
        <v>359.46052686201926</v>
      </c>
    </row>
    <row r="14" spans="1:10" hidden="1" x14ac:dyDescent="0.25">
      <c r="A14" t="str">
        <f>Outil_de_calcul!A26</f>
        <v>Écale de soya</v>
      </c>
      <c r="B14">
        <f>Outil_de_calcul!C26</f>
        <v>1.4</v>
      </c>
      <c r="C14">
        <f>Outil_de_calcul!D26</f>
        <v>12.37</v>
      </c>
      <c r="D14">
        <f>Méthode_linéaire!F15</f>
        <v>300</v>
      </c>
      <c r="E14" s="13">
        <f t="shared" si="0"/>
        <v>223.07363479591638</v>
      </c>
    </row>
    <row r="15" spans="1:10" hidden="1" x14ac:dyDescent="0.25">
      <c r="A15" t="str">
        <f>Outil_de_calcul!A27</f>
        <v>Son de blé</v>
      </c>
      <c r="B15">
        <f>Outil_de_calcul!C27</f>
        <v>1.69</v>
      </c>
      <c r="C15">
        <f>Outil_de_calcul!D27</f>
        <v>17.48</v>
      </c>
      <c r="D15">
        <f>Méthode_linéaire!F16</f>
        <v>350</v>
      </c>
      <c r="E15" s="13">
        <f t="shared" si="0"/>
        <v>292.7779466989499</v>
      </c>
    </row>
    <row r="16" spans="1:10" hidden="1" x14ac:dyDescent="0.25">
      <c r="A16" t="str">
        <f>Outil_de_calcul!A28</f>
        <v>Moulé 16% PB</v>
      </c>
      <c r="B16">
        <f>Outil_de_calcul!C28</f>
        <v>2.1800000000000002</v>
      </c>
      <c r="C16">
        <f>Outil_de_calcul!D28</f>
        <v>17.940000000000001</v>
      </c>
      <c r="D16">
        <f>Méthode_linéaire!F17</f>
        <v>450</v>
      </c>
      <c r="E16" s="13">
        <f t="shared" si="0"/>
        <v>335.16639608112848</v>
      </c>
    </row>
    <row r="17" spans="1:5" hidden="1" x14ac:dyDescent="0.25">
      <c r="A17" t="str">
        <f>Outil_de_calcul!A29</f>
        <v>Foin sec mature</v>
      </c>
      <c r="B17">
        <f>Outil_de_calcul!C29</f>
        <v>1.1399999999999999</v>
      </c>
      <c r="C17">
        <f>Outil_de_calcul!D29</f>
        <v>13.48</v>
      </c>
      <c r="D17">
        <f>Méthode_linéaire!F18</f>
        <v>185</v>
      </c>
      <c r="E17" s="13">
        <f t="shared" si="0"/>
        <v>213.07012298084655</v>
      </c>
    </row>
    <row r="18" spans="1:5" hidden="1" x14ac:dyDescent="0.25">
      <c r="A18" t="str">
        <f>Outil_de_calcul!A30</f>
        <v>Foin sec jeune</v>
      </c>
      <c r="B18">
        <f>Outil_de_calcul!C30</f>
        <v>1.4</v>
      </c>
      <c r="C18">
        <f>Outil_de_calcul!D30</f>
        <v>17.34</v>
      </c>
      <c r="D18">
        <f>Méthode_linéaire!F19</f>
        <v>185</v>
      </c>
      <c r="E18" s="13">
        <f t="shared" si="0"/>
        <v>268.91056315825494</v>
      </c>
    </row>
    <row r="19" spans="1:5" hidden="1" x14ac:dyDescent="0.25">
      <c r="A19" t="str">
        <f>Outil_de_calcul!A31</f>
        <v>Ensilage de maïs</v>
      </c>
      <c r="B19">
        <f>Outil_de_calcul!C31</f>
        <v>1.56</v>
      </c>
      <c r="C19">
        <f>Outil_de_calcul!D31</f>
        <v>8.24</v>
      </c>
      <c r="D19">
        <f>Méthode_linéaire!F20</f>
        <v>150</v>
      </c>
      <c r="E19" s="13">
        <f t="shared" si="0"/>
        <v>197.43962875738964</v>
      </c>
    </row>
    <row r="20" spans="1:5" hidden="1" x14ac:dyDescent="0.25">
      <c r="A20" t="str">
        <f>Outil_de_calcul!A32</f>
        <v xml:space="preserve">Autre </v>
      </c>
      <c r="B20">
        <f>Outil_de_calcul!C32</f>
        <v>2.17</v>
      </c>
      <c r="C20">
        <f>Outil_de_calcul!D32</f>
        <v>8.7899999999999991</v>
      </c>
      <c r="D20">
        <f>Méthode_linéaire!F21</f>
        <v>250</v>
      </c>
      <c r="E20" s="13">
        <f t="shared" ref="E20" si="1">B20*$D$28+$D$29*C20</f>
        <v>249.99999999999994</v>
      </c>
    </row>
    <row r="21" spans="1:5" hidden="1" x14ac:dyDescent="0.25"/>
    <row r="22" spans="1:5" hidden="1" x14ac:dyDescent="0.25">
      <c r="C22">
        <f>B6*F7</f>
        <v>678.125</v>
      </c>
      <c r="D22">
        <f>G7*B6</f>
        <v>55.210677083333337</v>
      </c>
      <c r="E22">
        <f>C22-E6</f>
        <v>428.12500000000006</v>
      </c>
    </row>
    <row r="23" spans="1:5" hidden="1" x14ac:dyDescent="0.25"/>
    <row r="24" spans="1:5" hidden="1" x14ac:dyDescent="0.25">
      <c r="B24">
        <f>(D7-C7*C24)/B7</f>
        <v>77.848974000226647</v>
      </c>
      <c r="C24">
        <f>(D6-C22)/(-D22+C6)</f>
        <v>9.2227220044946741</v>
      </c>
      <c r="D24">
        <f>C24*C6</f>
        <v>81.067726419508176</v>
      </c>
    </row>
    <row r="25" spans="1:5" hidden="1" x14ac:dyDescent="0.25"/>
    <row r="26" spans="1:5" hidden="1" x14ac:dyDescent="0.25">
      <c r="B26">
        <f>VLOOKUP(Outil_de_calcul!$B$10,Méthode_Petersen!$A$3:$C$19,2,FALSE)</f>
        <v>2.17</v>
      </c>
      <c r="C26">
        <f>VLOOKUP(Outil_de_calcul!$B$10,Méthode_Petersen!$A$3:$C$19,3,FALSE)</f>
        <v>8.7899999999999991</v>
      </c>
      <c r="D26">
        <f>VLOOKUP(Outil_de_calcul!$B$10,Méthode_Petersen!$A$3:$D$19,4,FALSE)</f>
        <v>250</v>
      </c>
    </row>
    <row r="27" spans="1:5" hidden="1" x14ac:dyDescent="0.25">
      <c r="B27">
        <f>VLOOKUP(Outil_de_calcul!$B$11,Méthode_Petersen!$A$3:$C$19,2,FALSE)</f>
        <v>1.92</v>
      </c>
      <c r="C27">
        <f>VLOOKUP(Outil_de_calcul!$B$11,Méthode_Petersen!$A$3:$C$19,3,FALSE)</f>
        <v>48.85</v>
      </c>
      <c r="D27">
        <f>VLOOKUP(Outil_de_calcul!$B$11,Méthode_Petersen!$A$3:$D$19,4,FALSE)</f>
        <v>600</v>
      </c>
    </row>
    <row r="28" spans="1:5" hidden="1" x14ac:dyDescent="0.25">
      <c r="B28">
        <f t="array" ref="B28:C29">MINVERSE(B26:C27)</f>
        <v>0.54808998773669682</v>
      </c>
      <c r="C28">
        <v>-9.8622538223245973E-2</v>
      </c>
      <c r="D28">
        <f t="array" ref="D28:D29">MMULT(B28:C29,D26:D27)</f>
        <v>77.848974000226619</v>
      </c>
    </row>
    <row r="29" spans="1:5" hidden="1" x14ac:dyDescent="0.25">
      <c r="B29">
        <v>-2.1542124390060553E-2</v>
      </c>
      <c r="C29">
        <v>2.4347088503349688E-2</v>
      </c>
      <c r="D29">
        <v>9.2227220044946741</v>
      </c>
    </row>
    <row r="30" spans="1:5" hidden="1" x14ac:dyDescent="0.25">
      <c r="B30" t="b">
        <f>B24=D28</f>
        <v>1</v>
      </c>
      <c r="C30" t="b">
        <f>C24=D29</f>
        <v>1</v>
      </c>
    </row>
    <row r="31" spans="1:5" hidden="1" x14ac:dyDescent="0.25">
      <c r="B31" s="3">
        <f>B24-D28</f>
        <v>0</v>
      </c>
    </row>
    <row r="32" spans="1:5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</sheetData>
  <sheetProtection password="E434" sheet="1" objects="1" scenarios="1" selectLockedCells="1" selectUn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workbookViewId="0"/>
  </sheetViews>
  <sheetFormatPr baseColWidth="10" defaultRowHeight="15" x14ac:dyDescent="0.25"/>
  <cols>
    <col min="1" max="1" width="23" customWidth="1"/>
    <col min="7" max="8" width="13.42578125" bestFit="1" customWidth="1"/>
  </cols>
  <sheetData>
    <row r="1" spans="1:9" x14ac:dyDescent="0.25">
      <c r="A1" t="s">
        <v>39</v>
      </c>
    </row>
    <row r="2" spans="1:9" hidden="1" x14ac:dyDescent="0.25"/>
    <row r="3" spans="1:9" ht="30" hidden="1" x14ac:dyDescent="0.25">
      <c r="A3" s="11" t="str">
        <f>Outil_de_calcul!A14</f>
        <v>Aliments</v>
      </c>
      <c r="B3" s="11" t="str">
        <f>Outil_de_calcul!D14</f>
        <v>PB</v>
      </c>
      <c r="C3" s="11" t="str">
        <f>Outil_de_calcul!C14</f>
        <v>NEM</v>
      </c>
      <c r="D3" s="11" t="str">
        <f>Outil_de_calcul!F14</f>
        <v>PDR, 
% MS</v>
      </c>
      <c r="E3" s="11" t="str">
        <f>Outil_de_calcul!G14</f>
        <v>PNDR, 
% MS</v>
      </c>
      <c r="F3" s="11" t="str">
        <f>Outil_de_calcul!H14</f>
        <v>Prix réel
$</v>
      </c>
      <c r="G3" s="11" t="s">
        <v>31</v>
      </c>
      <c r="H3" s="11"/>
      <c r="I3" s="11" t="s">
        <v>32</v>
      </c>
    </row>
    <row r="4" spans="1:9" hidden="1" x14ac:dyDescent="0.25">
      <c r="A4" t="str">
        <f>Outil_de_calcul!A15</f>
        <v>Avoine</v>
      </c>
      <c r="B4">
        <f>Outil_de_calcul!D15</f>
        <v>12.6</v>
      </c>
      <c r="C4">
        <f>Outil_de_calcul!C15</f>
        <v>2.0299999999999998</v>
      </c>
      <c r="D4">
        <f>Outil_de_calcul!F15</f>
        <v>5.48604</v>
      </c>
      <c r="E4">
        <f>Outil_de_calcul!G15</f>
        <v>7.1139599999999996</v>
      </c>
      <c r="F4">
        <f>Outil_de_calcul!H15</f>
        <v>330</v>
      </c>
      <c r="G4" s="4">
        <f>$E$23*C4+D4*$D$23+$C$23*E4</f>
        <v>289.80830447047725</v>
      </c>
      <c r="H4" s="4">
        <f>F4-G4</f>
        <v>40.191695529522747</v>
      </c>
      <c r="I4" s="1">
        <f>$B$26*C4+B4*$C$26</f>
        <v>290.91632060834013</v>
      </c>
    </row>
    <row r="5" spans="1:9" hidden="1" x14ac:dyDescent="0.25">
      <c r="A5" t="str">
        <f>Outil_de_calcul!A16</f>
        <v>Orge</v>
      </c>
      <c r="B5">
        <f>Outil_de_calcul!D16</f>
        <v>12.8</v>
      </c>
      <c r="C5">
        <f>Outil_de_calcul!C16</f>
        <v>2.06</v>
      </c>
      <c r="D5">
        <f>Outil_de_calcul!F16</f>
        <v>6.2937600000000007</v>
      </c>
      <c r="E5">
        <f>Outil_de_calcul!G16</f>
        <v>6.50624</v>
      </c>
      <c r="F5">
        <f>Outil_de_calcul!H16</f>
        <v>225</v>
      </c>
      <c r="G5" s="4">
        <f t="shared" ref="G5:G20" si="0">$E$23*C5+D5*$D$23+$C$23*E5</f>
        <v>294.02583737623343</v>
      </c>
      <c r="H5" s="4">
        <f t="shared" ref="H5:H20" si="1">F5-G5</f>
        <v>-69.025837376233426</v>
      </c>
      <c r="I5" s="1">
        <f t="shared" ref="I5:I20" si="2">$B$26*C5+B5*$C$26</f>
        <v>295.35676395555481</v>
      </c>
    </row>
    <row r="6" spans="1:9" hidden="1" x14ac:dyDescent="0.25">
      <c r="A6" t="str">
        <f>Outil_de_calcul!A17</f>
        <v>Blé</v>
      </c>
      <c r="B6">
        <f>Outil_de_calcul!D17</f>
        <v>13.79</v>
      </c>
      <c r="C6">
        <f>Outil_de_calcul!C17</f>
        <v>2.15</v>
      </c>
      <c r="D6">
        <f>Outil_de_calcul!F17</f>
        <v>8.8559380000000001</v>
      </c>
      <c r="E6">
        <f>Outil_de_calcul!G17</f>
        <v>4.9340619999999991</v>
      </c>
      <c r="F6">
        <f>Outil_de_calcul!H17</f>
        <v>301</v>
      </c>
      <c r="G6" s="4">
        <f t="shared" si="0"/>
        <v>310.69806017428004</v>
      </c>
      <c r="H6" s="4">
        <f t="shared" si="1"/>
        <v>-9.6980601742800445</v>
      </c>
      <c r="I6" s="1">
        <f t="shared" si="2"/>
        <v>312.67016709978134</v>
      </c>
    </row>
    <row r="7" spans="1:9" hidden="1" x14ac:dyDescent="0.25">
      <c r="A7" t="str">
        <f>Outil_de_calcul!A18</f>
        <v>Maïs</v>
      </c>
      <c r="B7">
        <f>Outil_de_calcul!D18</f>
        <v>8.7899999999999991</v>
      </c>
      <c r="C7">
        <f>Outil_de_calcul!C18</f>
        <v>2.17</v>
      </c>
      <c r="D7">
        <f>Outil_de_calcul!F18</f>
        <v>3.0413399999999999</v>
      </c>
      <c r="E7">
        <f>Outil_de_calcul!G18</f>
        <v>5.7486599999999992</v>
      </c>
      <c r="F7">
        <f>Outil_de_calcul!H18</f>
        <v>250</v>
      </c>
      <c r="G7" s="4">
        <f t="shared" si="0"/>
        <v>261.90239841285569</v>
      </c>
      <c r="H7" s="4">
        <f t="shared" si="1"/>
        <v>-11.902398412855689</v>
      </c>
      <c r="I7" s="1">
        <f t="shared" si="2"/>
        <v>263.08522695538693</v>
      </c>
    </row>
    <row r="8" spans="1:9" hidden="1" x14ac:dyDescent="0.25">
      <c r="A8" t="str">
        <f>Outil_de_calcul!A19</f>
        <v>Tourteau de soya</v>
      </c>
      <c r="B8">
        <f>Outil_de_calcul!D19</f>
        <v>48.85</v>
      </c>
      <c r="C8">
        <f>Outil_de_calcul!C19</f>
        <v>1.92</v>
      </c>
      <c r="D8">
        <f>Outil_de_calcul!F19</f>
        <v>29.31</v>
      </c>
      <c r="E8">
        <f>Outil_de_calcul!G19</f>
        <v>19.540000000000003</v>
      </c>
      <c r="F8">
        <f>Outil_de_calcul!H19</f>
        <v>600</v>
      </c>
      <c r="G8" s="4">
        <f t="shared" si="0"/>
        <v>651.61017860633956</v>
      </c>
      <c r="H8" s="4">
        <f t="shared" si="1"/>
        <v>-51.610178606339559</v>
      </c>
      <c r="I8" s="1">
        <f t="shared" si="2"/>
        <v>653.19923408865316</v>
      </c>
    </row>
    <row r="9" spans="1:9" hidden="1" x14ac:dyDescent="0.25">
      <c r="A9" t="str">
        <f>Outil_de_calcul!A20</f>
        <v>Tourteau de canola</v>
      </c>
      <c r="B9">
        <f>Outil_de_calcul!D20</f>
        <v>40.86</v>
      </c>
      <c r="C9">
        <f>Outil_de_calcul!C20</f>
        <v>1.67</v>
      </c>
      <c r="D9">
        <f>Outil_de_calcul!F20</f>
        <v>23.478155999999998</v>
      </c>
      <c r="E9">
        <f>Outil_de_calcul!G20</f>
        <v>17.381844000000001</v>
      </c>
      <c r="F9">
        <f>Outil_de_calcul!H20</f>
        <v>531</v>
      </c>
      <c r="G9" s="4">
        <f t="shared" si="0"/>
        <v>550.38460398498785</v>
      </c>
      <c r="H9" s="4">
        <f t="shared" si="1"/>
        <v>-19.384603984987848</v>
      </c>
      <c r="I9" s="1">
        <f t="shared" si="2"/>
        <v>551.46936281401076</v>
      </c>
    </row>
    <row r="10" spans="1:9" hidden="1" x14ac:dyDescent="0.25">
      <c r="A10" t="str">
        <f>Outil_de_calcul!A21</f>
        <v>Fin gluten de maïs</v>
      </c>
      <c r="B10">
        <f>Outil_de_calcul!D21</f>
        <v>68.209999999999994</v>
      </c>
      <c r="C10">
        <f>Outil_de_calcul!C21</f>
        <v>2.17</v>
      </c>
      <c r="D10">
        <f>Outil_de_calcul!F21</f>
        <v>20.456178999999999</v>
      </c>
      <c r="E10">
        <f>Outil_de_calcul!G21</f>
        <v>47.753820999999995</v>
      </c>
      <c r="F10">
        <f>Outil_de_calcul!H21</f>
        <v>850</v>
      </c>
      <c r="G10" s="4">
        <f t="shared" si="0"/>
        <v>875.41093709313122</v>
      </c>
      <c r="H10" s="4">
        <f t="shared" si="1"/>
        <v>-25.410937093131224</v>
      </c>
      <c r="I10" s="1">
        <f t="shared" si="2"/>
        <v>871.31339043089008</v>
      </c>
    </row>
    <row r="11" spans="1:9" hidden="1" x14ac:dyDescent="0.25">
      <c r="A11" t="str">
        <f>Outil_de_calcul!A22</f>
        <v>Drêche de distillerie sec</v>
      </c>
      <c r="B11">
        <f>Outil_de_calcul!D22</f>
        <v>30.8</v>
      </c>
      <c r="C11">
        <f>Outil_de_calcul!C22</f>
        <v>2.21</v>
      </c>
      <c r="D11">
        <f>Outil_de_calcul!F22</f>
        <v>9.8559999999999999</v>
      </c>
      <c r="E11">
        <f>Outil_de_calcul!G22</f>
        <v>20.944000000000003</v>
      </c>
      <c r="F11">
        <f>Outil_de_calcul!H22</f>
        <v>472</v>
      </c>
      <c r="G11" s="4">
        <f t="shared" si="0"/>
        <v>492.20713829919293</v>
      </c>
      <c r="H11" s="4">
        <f t="shared" si="1"/>
        <v>-20.207138299192934</v>
      </c>
      <c r="I11" s="1">
        <f t="shared" si="2"/>
        <v>491.57242362470743</v>
      </c>
    </row>
    <row r="12" spans="1:9" hidden="1" x14ac:dyDescent="0.25">
      <c r="A12" t="str">
        <f>Outil_de_calcul!A23</f>
        <v>Drêche de brasserie sec</v>
      </c>
      <c r="B12">
        <f>Outil_de_calcul!D23</f>
        <v>25</v>
      </c>
      <c r="C12">
        <f>Outil_de_calcul!C23</f>
        <v>1.7</v>
      </c>
      <c r="D12">
        <f>Outil_de_calcul!F23</f>
        <v>10.077500000000001</v>
      </c>
      <c r="E12">
        <f>Outil_de_calcul!G23</f>
        <v>14.922499999999999</v>
      </c>
      <c r="F12">
        <f>Outil_de_calcul!H23</f>
        <v>450</v>
      </c>
      <c r="G12" s="4">
        <f t="shared" si="0"/>
        <v>391.51529302280517</v>
      </c>
      <c r="H12" s="4">
        <f t="shared" si="1"/>
        <v>58.484706977194833</v>
      </c>
      <c r="I12" s="1">
        <f t="shared" si="2"/>
        <v>391.51828301385797</v>
      </c>
    </row>
    <row r="13" spans="1:9" hidden="1" x14ac:dyDescent="0.25">
      <c r="A13" t="str">
        <f>Outil_de_calcul!A24</f>
        <v>Soya torréfié</v>
      </c>
      <c r="B13">
        <f>Outil_de_calcul!D24</f>
        <v>40.5</v>
      </c>
      <c r="C13">
        <f>Outil_de_calcul!C24</f>
        <v>1.92</v>
      </c>
      <c r="D13">
        <f>Outil_de_calcul!F24</f>
        <v>22.8096</v>
      </c>
      <c r="E13">
        <f>Outil_de_calcul!G24</f>
        <v>17.6904</v>
      </c>
      <c r="F13">
        <f>Outil_de_calcul!H24</f>
        <v>700</v>
      </c>
      <c r="G13" s="4">
        <f t="shared" si="0"/>
        <v>566.56220745122505</v>
      </c>
      <c r="H13" s="4">
        <f t="shared" si="1"/>
        <v>133.43779254877495</v>
      </c>
      <c r="I13" s="1">
        <f t="shared" si="2"/>
        <v>567.72792535387612</v>
      </c>
    </row>
    <row r="14" spans="1:9" hidden="1" x14ac:dyDescent="0.25">
      <c r="A14" t="str">
        <f>Outil_de_calcul!A25</f>
        <v>Gros gluten</v>
      </c>
      <c r="B14">
        <f>Outil_de_calcul!D25</f>
        <v>22.6</v>
      </c>
      <c r="C14">
        <f>Outil_de_calcul!C25</f>
        <v>1.94</v>
      </c>
      <c r="D14">
        <f>Outil_de_calcul!F25</f>
        <v>14.393940000000001</v>
      </c>
      <c r="E14">
        <f>Outil_de_calcul!G25</f>
        <v>8.2060600000000008</v>
      </c>
      <c r="F14">
        <f>Outil_de_calcul!H25</f>
        <v>350</v>
      </c>
      <c r="G14" s="4">
        <f t="shared" si="0"/>
        <v>384.23551036744601</v>
      </c>
      <c r="H14" s="4">
        <f t="shared" si="1"/>
        <v>-34.235510367446011</v>
      </c>
      <c r="I14" s="1">
        <f t="shared" si="2"/>
        <v>386.09749027790997</v>
      </c>
    </row>
    <row r="15" spans="1:9" hidden="1" x14ac:dyDescent="0.25">
      <c r="A15" t="str">
        <f>Outil_de_calcul!A26</f>
        <v>Écale de soya</v>
      </c>
      <c r="B15">
        <f>Outil_de_calcul!D26</f>
        <v>12.37</v>
      </c>
      <c r="C15">
        <f>Outil_de_calcul!C26</f>
        <v>1.4</v>
      </c>
      <c r="D15">
        <f>Outil_de_calcul!F26</f>
        <v>5.7941080000000005</v>
      </c>
      <c r="E15">
        <f>Outil_de_calcul!G26</f>
        <v>6.5758919999999987</v>
      </c>
      <c r="F15">
        <f>Outil_de_calcul!H26</f>
        <v>300</v>
      </c>
      <c r="G15" s="4">
        <f t="shared" si="0"/>
        <v>237.59920752751998</v>
      </c>
      <c r="H15" s="4">
        <f t="shared" si="1"/>
        <v>62.40079247248002</v>
      </c>
      <c r="I15" s="1">
        <f t="shared" si="2"/>
        <v>238.30426728414434</v>
      </c>
    </row>
    <row r="16" spans="1:9" hidden="1" x14ac:dyDescent="0.25">
      <c r="A16" t="str">
        <f>Outil_de_calcul!A27</f>
        <v>Son de blé</v>
      </c>
      <c r="B16">
        <f>Outil_de_calcul!D27</f>
        <v>17.48</v>
      </c>
      <c r="C16">
        <f>Outil_de_calcul!C27</f>
        <v>1.69</v>
      </c>
      <c r="D16">
        <f>Outil_de_calcul!F27</f>
        <v>11.248379999999999</v>
      </c>
      <c r="E16">
        <f>Outil_de_calcul!G27</f>
        <v>6.2316200000000013</v>
      </c>
      <c r="F16">
        <f>Outil_de_calcul!H27</f>
        <v>350</v>
      </c>
      <c r="G16" s="4">
        <f t="shared" si="0"/>
        <v>312.11203040669079</v>
      </c>
      <c r="H16" s="4">
        <f t="shared" si="1"/>
        <v>37.887969593309208</v>
      </c>
      <c r="I16" s="1">
        <f t="shared" si="2"/>
        <v>313.74518260432268</v>
      </c>
    </row>
    <row r="17" spans="1:9" hidden="1" x14ac:dyDescent="0.25">
      <c r="A17" t="str">
        <f>Outil_de_calcul!A28</f>
        <v>Moulé 16% PB</v>
      </c>
      <c r="B17">
        <f>Outil_de_calcul!D28</f>
        <v>17.940000000000001</v>
      </c>
      <c r="C17">
        <f>Outil_de_calcul!C28</f>
        <v>2.1800000000000002</v>
      </c>
      <c r="D17">
        <f>Outil_de_calcul!F28</f>
        <v>10.764000000000001</v>
      </c>
      <c r="E17">
        <f>Outil_de_calcul!G28</f>
        <v>7.1760000000000002</v>
      </c>
      <c r="F17">
        <f>Outil_de_calcul!H28</f>
        <v>450</v>
      </c>
      <c r="G17" s="4">
        <f t="shared" ref="G17" si="3">$E$23*C17+D17*$D$23+$C$23*E17</f>
        <v>355.71562840426918</v>
      </c>
      <c r="H17" s="4">
        <f t="shared" ref="H17" si="4">F17-G17</f>
        <v>94.284371595730818</v>
      </c>
      <c r="I17" s="1">
        <f t="shared" ref="I17" si="5">$B$26*C17+B17*$C$26</f>
        <v>357.54314571674092</v>
      </c>
    </row>
    <row r="18" spans="1:9" hidden="1" x14ac:dyDescent="0.25">
      <c r="A18" t="str">
        <f>Outil_de_calcul!A29</f>
        <v>Foin sec mature</v>
      </c>
      <c r="B18">
        <f>Outil_de_calcul!D29</f>
        <v>13.48</v>
      </c>
      <c r="C18">
        <f>Outil_de_calcul!C29</f>
        <v>1.1399999999999999</v>
      </c>
      <c r="D18">
        <f>Outil_de_calcul!F29</f>
        <v>8.7620000000000005</v>
      </c>
      <c r="E18">
        <f>Outil_de_calcul!G29</f>
        <v>4.718</v>
      </c>
      <c r="F18">
        <f>Outil_de_calcul!H29</f>
        <v>185</v>
      </c>
      <c r="G18" s="4">
        <f t="shared" si="0"/>
        <v>227.77810716289375</v>
      </c>
      <c r="H18" s="4">
        <f t="shared" si="1"/>
        <v>-42.778107162893747</v>
      </c>
      <c r="I18" s="1">
        <f t="shared" si="2"/>
        <v>228.9250262792475</v>
      </c>
    </row>
    <row r="19" spans="1:9" hidden="1" x14ac:dyDescent="0.25">
      <c r="A19" t="str">
        <f>Outil_de_calcul!A30</f>
        <v>Foin sec jeune</v>
      </c>
      <c r="B19">
        <f>Outil_de_calcul!D30</f>
        <v>17.34</v>
      </c>
      <c r="C19">
        <f>Outil_de_calcul!C30</f>
        <v>1.4</v>
      </c>
      <c r="D19">
        <f>Outil_de_calcul!F30</f>
        <v>11.271000000000001</v>
      </c>
      <c r="E19">
        <f>Outil_de_calcul!G30</f>
        <v>6.0689999999999991</v>
      </c>
      <c r="F19">
        <f>Outil_de_calcul!H30</f>
        <v>185</v>
      </c>
      <c r="G19" s="4">
        <f t="shared" si="0"/>
        <v>287.75830537643424</v>
      </c>
      <c r="H19" s="4">
        <f t="shared" si="1"/>
        <v>-102.75830537643424</v>
      </c>
      <c r="I19" s="1">
        <f t="shared" si="2"/>
        <v>289.17760912987393</v>
      </c>
    </row>
    <row r="20" spans="1:9" hidden="1" x14ac:dyDescent="0.25">
      <c r="A20" t="str">
        <f>Outil_de_calcul!A31</f>
        <v>Ensilage de maïs</v>
      </c>
      <c r="B20">
        <f>Outil_de_calcul!D31</f>
        <v>8.24</v>
      </c>
      <c r="C20">
        <f>Outil_de_calcul!C31</f>
        <v>1.56</v>
      </c>
      <c r="D20">
        <f>Outil_de_calcul!F31</f>
        <v>6.1404480000000001</v>
      </c>
      <c r="E20">
        <f>Outil_de_calcul!G31</f>
        <v>2.0995520000000001</v>
      </c>
      <c r="F20">
        <f>Outil_de_calcul!H31</f>
        <v>150</v>
      </c>
      <c r="G20" s="4">
        <f t="shared" si="0"/>
        <v>207.13849335459741</v>
      </c>
      <c r="H20" s="4">
        <f t="shared" si="1"/>
        <v>-57.138493354597415</v>
      </c>
      <c r="I20" s="1">
        <f t="shared" si="2"/>
        <v>208.79311071778554</v>
      </c>
    </row>
    <row r="21" spans="1:9" hidden="1" x14ac:dyDescent="0.25">
      <c r="A21" t="str">
        <f>Outil_de_calcul!A32</f>
        <v xml:space="preserve">Autre </v>
      </c>
      <c r="B21">
        <f>Outil_de_calcul!D32</f>
        <v>8.7899999999999991</v>
      </c>
      <c r="C21">
        <f>Outil_de_calcul!C32</f>
        <v>2.17</v>
      </c>
      <c r="D21">
        <f>Outil_de_calcul!F32</f>
        <v>3.0413399999999999</v>
      </c>
      <c r="E21">
        <f>Outil_de_calcul!G32</f>
        <v>5.7486599999999992</v>
      </c>
      <c r="F21">
        <f>Outil_de_calcul!H32</f>
        <v>250</v>
      </c>
      <c r="G21" s="4">
        <f t="shared" ref="G21" si="6">$E$23*C21+D21*$D$23+$C$23*E21</f>
        <v>261.90239841285569</v>
      </c>
      <c r="H21" s="4">
        <f t="shared" ref="H21" si="7">F21-G21</f>
        <v>-11.902398412855689</v>
      </c>
      <c r="I21" s="1">
        <f t="shared" ref="I21" si="8">$B$26*C21+B21*$C$26</f>
        <v>263.08522695538693</v>
      </c>
    </row>
    <row r="22" spans="1:9" hidden="1" x14ac:dyDescent="0.25"/>
    <row r="23" spans="1:9" hidden="1" x14ac:dyDescent="0.25">
      <c r="B23" s="53" t="s">
        <v>2</v>
      </c>
      <c r="C23">
        <f t="array" ref="C23:F24">LINEST(F4:F21,C4:E21,FALSE,TRUE)</f>
        <v>10.409216129890805</v>
      </c>
      <c r="D23">
        <v>10.121697895709259</v>
      </c>
      <c r="E23">
        <v>78.930796929705636</v>
      </c>
      <c r="F23">
        <v>0</v>
      </c>
    </row>
    <row r="24" spans="1:9" hidden="1" x14ac:dyDescent="0.25">
      <c r="B24" s="53"/>
      <c r="C24">
        <v>1.8995205129068649</v>
      </c>
      <c r="D24">
        <v>2.5046815700639651</v>
      </c>
      <c r="E24">
        <v>15.101534985990524</v>
      </c>
      <c r="F24" t="e">
        <v>#N/A</v>
      </c>
    </row>
    <row r="25" spans="1:9" hidden="1" x14ac:dyDescent="0.25"/>
    <row r="26" spans="1:9" hidden="1" x14ac:dyDescent="0.25">
      <c r="A26" s="53" t="s">
        <v>3</v>
      </c>
      <c r="B26">
        <f t="array" ref="B26:D28">LINEST(F4:F20,B4:C20,FALSE,TRUE)</f>
        <v>79.774212384380945</v>
      </c>
      <c r="C26">
        <v>10.236084878416413</v>
      </c>
      <c r="D26">
        <v>0</v>
      </c>
    </row>
    <row r="27" spans="1:9" hidden="1" x14ac:dyDescent="0.25">
      <c r="A27" s="53"/>
      <c r="B27">
        <v>15.795660379980509</v>
      </c>
      <c r="C27">
        <v>1.0158329173955194</v>
      </c>
      <c r="D27" t="e">
        <v>#N/A</v>
      </c>
    </row>
    <row r="28" spans="1:9" hidden="1" x14ac:dyDescent="0.25">
      <c r="A28" s="53"/>
      <c r="B28">
        <v>0.98044019930944504</v>
      </c>
      <c r="C28">
        <v>64.806695549124626</v>
      </c>
      <c r="D28" t="e">
        <v>#N/A</v>
      </c>
    </row>
    <row r="29" spans="1:9" hidden="1" x14ac:dyDescent="0.25"/>
    <row r="30" spans="1:9" hidden="1" x14ac:dyDescent="0.25"/>
    <row r="31" spans="1:9" hidden="1" x14ac:dyDescent="0.25"/>
    <row r="32" spans="1:9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</sheetData>
  <sheetProtection password="E434" sheet="1" objects="1" scenarios="1" selectLockedCells="1" selectUnlockedCells="1"/>
  <mergeCells count="2">
    <mergeCell ref="B23:B24"/>
    <mergeCell ref="A26:A2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Outil_de_calcul</vt:lpstr>
      <vt:lpstr>Feuil1</vt:lpstr>
      <vt:lpstr>Méthode_Petersen</vt:lpstr>
      <vt:lpstr>Méthode_linéaire</vt:lpstr>
      <vt:lpstr>Outil_de_calcul!Impression_des_titres</vt:lpstr>
      <vt:lpstr>Outil_de_calcul!Zone_d_impression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Binggeli</dc:creator>
  <cp:lastModifiedBy>Hélène Grondines</cp:lastModifiedBy>
  <cp:lastPrinted>2019-10-17T19:02:02Z</cp:lastPrinted>
  <dcterms:created xsi:type="dcterms:W3CDTF">2019-04-24T20:08:36Z</dcterms:created>
  <dcterms:modified xsi:type="dcterms:W3CDTF">2019-10-17T19:02:58Z</dcterms:modified>
  <cp:contentStatus/>
</cp:coreProperties>
</file>